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Anna\Documenten\UvA\jaar 2\bestuursjaar\ALV\"/>
    </mc:Choice>
  </mc:AlternateContent>
  <xr:revisionPtr revIDLastSave="0" documentId="8_{36527580-817C-4311-A585-E65E97A92AA2}" xr6:coauthVersionLast="45" xr6:coauthVersionMax="45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Begroting Kwakiutl" sheetId="1" r:id="rId1"/>
    <sheet name="Algemene verengingskosten" sheetId="2" r:id="rId2"/>
    <sheet name="Bestuurskosten" sheetId="3" r:id="rId3"/>
    <sheet name="Commissieoverstijgend" sheetId="4" r:id="rId4"/>
    <sheet name="Commissie Reizen" sheetId="5" r:id="rId5"/>
    <sheet name="Commissie studie" sheetId="6" r:id="rId6"/>
    <sheet name="Commissie sociaal" sheetId="7" r:id="rId7"/>
  </sheets>
  <definedNames>
    <definedName name="Z_6841AB6A_B652_456A_9780_2D9C5380FC0C_.wvu.FilterData" localSheetId="0" hidden="1">'Begroting Kwakiutl'!$C$15:$G$19</definedName>
  </definedNames>
  <calcPr calcId="181029"/>
  <customWorkbookViews>
    <customWorkbookView name="Filter 1" guid="{6841AB6A-B652-456A-9780-2D9C5380FC0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7" l="1"/>
  <c r="Q13" i="7"/>
  <c r="P13" i="7"/>
  <c r="O13" i="7"/>
  <c r="N13" i="7"/>
  <c r="M13" i="7"/>
  <c r="L13" i="7"/>
  <c r="J13" i="7"/>
  <c r="E13" i="7"/>
  <c r="D13" i="7"/>
  <c r="S12" i="7"/>
  <c r="T12" i="7" s="1"/>
  <c r="C12" i="7"/>
  <c r="F12" i="7" s="1"/>
  <c r="T11" i="7"/>
  <c r="S11" i="7"/>
  <c r="F11" i="7"/>
  <c r="S10" i="7"/>
  <c r="T10" i="7" s="1"/>
  <c r="F10" i="7"/>
  <c r="J9" i="7"/>
  <c r="S9" i="7" s="1"/>
  <c r="T9" i="7" s="1"/>
  <c r="F9" i="7"/>
  <c r="S8" i="7"/>
  <c r="T8" i="7" s="1"/>
  <c r="F8" i="7"/>
  <c r="F13" i="7" s="1"/>
  <c r="I7" i="7"/>
  <c r="H7" i="7"/>
  <c r="G7" i="7"/>
  <c r="F7" i="7"/>
  <c r="K6" i="7"/>
  <c r="K13" i="7" s="1"/>
  <c r="F6" i="7"/>
  <c r="I5" i="7"/>
  <c r="I13" i="7" s="1"/>
  <c r="H5" i="7"/>
  <c r="F5" i="7"/>
  <c r="S4" i="7"/>
  <c r="T4" i="7" s="1"/>
  <c r="F4" i="7"/>
  <c r="S3" i="7"/>
  <c r="T3" i="7" s="1"/>
  <c r="J3" i="7"/>
  <c r="H3" i="7"/>
  <c r="F3" i="7"/>
  <c r="R13" i="6"/>
  <c r="Q13" i="6"/>
  <c r="P13" i="6"/>
  <c r="O13" i="6"/>
  <c r="N13" i="6"/>
  <c r="M13" i="6"/>
  <c r="L13" i="6"/>
  <c r="M15" i="1" s="1"/>
  <c r="K13" i="6"/>
  <c r="I13" i="6"/>
  <c r="G13" i="6"/>
  <c r="E13" i="6"/>
  <c r="D13" i="6"/>
  <c r="D12" i="1" s="1"/>
  <c r="S12" i="6"/>
  <c r="H11" i="6"/>
  <c r="S11" i="6" s="1"/>
  <c r="T11" i="6" s="1"/>
  <c r="F11" i="6"/>
  <c r="J10" i="6"/>
  <c r="F10" i="6"/>
  <c r="S9" i="6"/>
  <c r="T9" i="6" s="1"/>
  <c r="F9" i="6"/>
  <c r="T8" i="6"/>
  <c r="S8" i="6"/>
  <c r="F8" i="6"/>
  <c r="T7" i="6"/>
  <c r="S7" i="6"/>
  <c r="H7" i="6"/>
  <c r="C7" i="6"/>
  <c r="F7" i="6" s="1"/>
  <c r="T6" i="6"/>
  <c r="S6" i="6"/>
  <c r="F6" i="6"/>
  <c r="S5" i="6"/>
  <c r="T5" i="6" s="1"/>
  <c r="F5" i="6"/>
  <c r="H4" i="6"/>
  <c r="S4" i="6" s="1"/>
  <c r="F4" i="6"/>
  <c r="S3" i="6"/>
  <c r="F3" i="6"/>
  <c r="R8" i="5"/>
  <c r="Q8" i="5"/>
  <c r="P8" i="5"/>
  <c r="O8" i="5"/>
  <c r="N8" i="5"/>
  <c r="M8" i="5"/>
  <c r="L8" i="5"/>
  <c r="K8" i="5"/>
  <c r="J8" i="5"/>
  <c r="I8" i="5"/>
  <c r="E8" i="5"/>
  <c r="D8" i="5"/>
  <c r="C8" i="5"/>
  <c r="S7" i="5"/>
  <c r="T7" i="5" s="1"/>
  <c r="J7" i="5"/>
  <c r="I7" i="5"/>
  <c r="H7" i="5"/>
  <c r="F7" i="5"/>
  <c r="C7" i="5"/>
  <c r="S6" i="5"/>
  <c r="T6" i="5" s="1"/>
  <c r="F6" i="5"/>
  <c r="S5" i="5"/>
  <c r="T5" i="5" s="1"/>
  <c r="F5" i="5"/>
  <c r="J4" i="5"/>
  <c r="I4" i="5"/>
  <c r="H4" i="5"/>
  <c r="G4" i="5"/>
  <c r="S4" i="5" s="1"/>
  <c r="T4" i="5" s="1"/>
  <c r="F4" i="5"/>
  <c r="S3" i="5"/>
  <c r="T3" i="5" s="1"/>
  <c r="J3" i="5"/>
  <c r="H3" i="5"/>
  <c r="G3" i="5"/>
  <c r="G8" i="5" s="1"/>
  <c r="F3" i="5"/>
  <c r="F8" i="5" s="1"/>
  <c r="R8" i="4"/>
  <c r="Q8" i="4"/>
  <c r="P8" i="4"/>
  <c r="O8" i="4"/>
  <c r="N8" i="4"/>
  <c r="M8" i="4"/>
  <c r="L8" i="4"/>
  <c r="J8" i="4"/>
  <c r="I8" i="4"/>
  <c r="E8" i="4"/>
  <c r="D8" i="4"/>
  <c r="T7" i="4"/>
  <c r="S7" i="4"/>
  <c r="C7" i="4"/>
  <c r="F7" i="4" s="1"/>
  <c r="K6" i="4"/>
  <c r="K8" i="4" s="1"/>
  <c r="T5" i="4"/>
  <c r="H5" i="4"/>
  <c r="H8" i="4" s="1"/>
  <c r="G5" i="4"/>
  <c r="S5" i="4" s="1"/>
  <c r="F5" i="4"/>
  <c r="S4" i="4"/>
  <c r="T4" i="4" s="1"/>
  <c r="F4" i="4"/>
  <c r="G3" i="4"/>
  <c r="S3" i="4" s="1"/>
  <c r="T3" i="4" s="1"/>
  <c r="F3" i="4"/>
  <c r="F8" i="4" s="1"/>
  <c r="B20" i="3"/>
  <c r="C21" i="3" s="1"/>
  <c r="C22" i="3" s="1"/>
  <c r="C5" i="3" s="1"/>
  <c r="R11" i="3"/>
  <c r="Q11" i="3"/>
  <c r="P11" i="3"/>
  <c r="O11" i="3"/>
  <c r="P15" i="1" s="1"/>
  <c r="N11" i="3"/>
  <c r="M11" i="3"/>
  <c r="L11" i="3"/>
  <c r="K11" i="3"/>
  <c r="H11" i="3"/>
  <c r="G11" i="3"/>
  <c r="E11" i="3"/>
  <c r="D11" i="3"/>
  <c r="D9" i="1" s="1"/>
  <c r="D15" i="1" s="1"/>
  <c r="S10" i="3"/>
  <c r="S9" i="3"/>
  <c r="T9" i="3" s="1"/>
  <c r="F9" i="3"/>
  <c r="T8" i="3"/>
  <c r="S8" i="3"/>
  <c r="F8" i="3"/>
  <c r="S7" i="3"/>
  <c r="T7" i="3" s="1"/>
  <c r="F7" i="3"/>
  <c r="I6" i="3"/>
  <c r="I11" i="3" s="1"/>
  <c r="H6" i="3"/>
  <c r="G6" i="3"/>
  <c r="F6" i="3"/>
  <c r="J5" i="3"/>
  <c r="S5" i="3" s="1"/>
  <c r="J4" i="3"/>
  <c r="F4" i="3"/>
  <c r="S3" i="3"/>
  <c r="T3" i="3" s="1"/>
  <c r="F3" i="3"/>
  <c r="R16" i="2"/>
  <c r="Q16" i="2"/>
  <c r="R15" i="1" s="1"/>
  <c r="P16" i="2"/>
  <c r="O16" i="2"/>
  <c r="N16" i="2"/>
  <c r="M16" i="2"/>
  <c r="N15" i="1" s="1"/>
  <c r="L16" i="2"/>
  <c r="H16" i="2"/>
  <c r="E16" i="2"/>
  <c r="F8" i="1" s="1"/>
  <c r="D16" i="2"/>
  <c r="D8" i="1" s="1"/>
  <c r="S15" i="2"/>
  <c r="T15" i="2" s="1"/>
  <c r="F15" i="2"/>
  <c r="C15" i="2"/>
  <c r="C16" i="2" s="1"/>
  <c r="C8" i="1" s="1"/>
  <c r="K14" i="2"/>
  <c r="K16" i="2" s="1"/>
  <c r="J14" i="2"/>
  <c r="I14" i="2"/>
  <c r="H14" i="2"/>
  <c r="G14" i="2"/>
  <c r="S14" i="2" s="1"/>
  <c r="T14" i="2" s="1"/>
  <c r="F14" i="2"/>
  <c r="H13" i="2"/>
  <c r="S13" i="2" s="1"/>
  <c r="T13" i="2" s="1"/>
  <c r="G13" i="2"/>
  <c r="F13" i="2"/>
  <c r="S12" i="2"/>
  <c r="T12" i="2" s="1"/>
  <c r="F12" i="2"/>
  <c r="T11" i="2"/>
  <c r="S11" i="2"/>
  <c r="F11" i="2"/>
  <c r="S10" i="2"/>
  <c r="T10" i="2" s="1"/>
  <c r="F10" i="2"/>
  <c r="T9" i="2"/>
  <c r="S9" i="2"/>
  <c r="F9" i="2"/>
  <c r="T8" i="2"/>
  <c r="S8" i="2"/>
  <c r="F8" i="2"/>
  <c r="S7" i="2"/>
  <c r="T7" i="2" s="1"/>
  <c r="F7" i="2"/>
  <c r="S6" i="2"/>
  <c r="T6" i="2" s="1"/>
  <c r="F6" i="2"/>
  <c r="T5" i="2"/>
  <c r="G5" i="2"/>
  <c r="S5" i="2" s="1"/>
  <c r="F5" i="2"/>
  <c r="I4" i="2"/>
  <c r="G4" i="2"/>
  <c r="F4" i="2"/>
  <c r="J3" i="2"/>
  <c r="J16" i="2" s="1"/>
  <c r="I3" i="2"/>
  <c r="I16" i="2" s="1"/>
  <c r="J15" i="1" s="1"/>
  <c r="H3" i="2"/>
  <c r="F3" i="2"/>
  <c r="F36" i="1"/>
  <c r="F19" i="1"/>
  <c r="L18" i="1"/>
  <c r="L20" i="1" s="1"/>
  <c r="G18" i="1"/>
  <c r="H18" i="1" s="1"/>
  <c r="F18" i="1"/>
  <c r="Q15" i="1"/>
  <c r="L15" i="1"/>
  <c r="E15" i="1"/>
  <c r="F13" i="1"/>
  <c r="D13" i="1"/>
  <c r="F12" i="1"/>
  <c r="F11" i="1"/>
  <c r="D11" i="1"/>
  <c r="C11" i="1"/>
  <c r="F10" i="1"/>
  <c r="D10" i="1"/>
  <c r="F9" i="1"/>
  <c r="U7" i="1"/>
  <c r="G7" i="1"/>
  <c r="U6" i="1"/>
  <c r="G6" i="1"/>
  <c r="U5" i="1"/>
  <c r="G5" i="1"/>
  <c r="L4" i="1"/>
  <c r="I4" i="1"/>
  <c r="U4" i="1" s="1"/>
  <c r="G4" i="1"/>
  <c r="K3" i="1"/>
  <c r="J3" i="1"/>
  <c r="I3" i="1"/>
  <c r="H3" i="1"/>
  <c r="U3" i="1" s="1"/>
  <c r="G3" i="1"/>
  <c r="C11" i="3" l="1"/>
  <c r="T5" i="3"/>
  <c r="F5" i="3"/>
  <c r="C10" i="3"/>
  <c r="T4" i="6"/>
  <c r="T3" i="6"/>
  <c r="F29" i="1"/>
  <c r="L8" i="1" s="1"/>
  <c r="U8" i="1" s="1"/>
  <c r="G8" i="1"/>
  <c r="F15" i="1"/>
  <c r="F30" i="1" s="1"/>
  <c r="L9" i="1" s="1"/>
  <c r="U9" i="1" s="1"/>
  <c r="F31" i="1"/>
  <c r="L10" i="1" s="1"/>
  <c r="U10" i="1" s="1"/>
  <c r="I15" i="1"/>
  <c r="S7" i="7"/>
  <c r="T7" i="7" s="1"/>
  <c r="G13" i="7"/>
  <c r="F16" i="2"/>
  <c r="S3" i="2"/>
  <c r="T3" i="2" s="1"/>
  <c r="O15" i="1"/>
  <c r="S15" i="1"/>
  <c r="H13" i="6"/>
  <c r="S13" i="6" s="1"/>
  <c r="F33" i="1"/>
  <c r="J11" i="3"/>
  <c r="S11" i="3" s="1"/>
  <c r="S4" i="3"/>
  <c r="T4" i="3" s="1"/>
  <c r="S8" i="5"/>
  <c r="T8" i="5" s="1"/>
  <c r="C12" i="6"/>
  <c r="H13" i="7"/>
  <c r="S6" i="7"/>
  <c r="T6" i="7" s="1"/>
  <c r="G11" i="1"/>
  <c r="L12" i="1"/>
  <c r="U12" i="1" s="1"/>
  <c r="F34" i="1"/>
  <c r="L13" i="1" s="1"/>
  <c r="U13" i="1" s="1"/>
  <c r="G16" i="2"/>
  <c r="S4" i="2"/>
  <c r="T4" i="2" s="1"/>
  <c r="S6" i="3"/>
  <c r="T6" i="3" s="1"/>
  <c r="H8" i="5"/>
  <c r="J13" i="6"/>
  <c r="K15" i="1" s="1"/>
  <c r="S10" i="6"/>
  <c r="T10" i="6" s="1"/>
  <c r="S5" i="7"/>
  <c r="T5" i="7" s="1"/>
  <c r="C8" i="4"/>
  <c r="G8" i="4"/>
  <c r="S8" i="4" s="1"/>
  <c r="C13" i="7"/>
  <c r="S13" i="7" l="1"/>
  <c r="T13" i="7" s="1"/>
  <c r="C9" i="1"/>
  <c r="T11" i="3"/>
  <c r="C13" i="1"/>
  <c r="G13" i="1" s="1"/>
  <c r="T8" i="4"/>
  <c r="C10" i="1"/>
  <c r="G10" i="1" s="1"/>
  <c r="S16" i="2"/>
  <c r="T16" i="2" s="1"/>
  <c r="H15" i="1"/>
  <c r="T12" i="6"/>
  <c r="F12" i="6"/>
  <c r="F13" i="6" s="1"/>
  <c r="T10" i="3"/>
  <c r="F10" i="3"/>
  <c r="F11" i="3" s="1"/>
  <c r="C13" i="6"/>
  <c r="F32" i="1"/>
  <c r="L11" i="1" s="1"/>
  <c r="U11" i="1" s="1"/>
  <c r="U14" i="1" s="1"/>
  <c r="T15" i="1" s="1"/>
  <c r="C12" i="1" l="1"/>
  <c r="G12" i="1" s="1"/>
  <c r="T13" i="6"/>
  <c r="C15" i="1"/>
  <c r="G9" i="1"/>
  <c r="G15" i="1" s="1"/>
</calcChain>
</file>

<file path=xl/sharedStrings.xml><?xml version="1.0" encoding="utf-8"?>
<sst xmlns="http://schemas.openxmlformats.org/spreadsheetml/2006/main" count="257" uniqueCount="122">
  <si>
    <t>Algemene Verenigingskosten</t>
  </si>
  <si>
    <t>GERESERVEERD</t>
  </si>
  <si>
    <t>TOTALEN</t>
  </si>
  <si>
    <t>Bestuurskosten</t>
  </si>
  <si>
    <t>Omschrijving</t>
  </si>
  <si>
    <t>Specificatie</t>
  </si>
  <si>
    <t>Uitgaven</t>
  </si>
  <si>
    <t>Inkomsten</t>
  </si>
  <si>
    <t>Subsidie-aanvraag</t>
  </si>
  <si>
    <t>Saldo</t>
  </si>
  <si>
    <t>Realisatie ASV Kwakiutl 2019-2020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</si>
  <si>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</si>
  <si>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</si>
  <si>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</si>
  <si>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</si>
  <si>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</si>
  <si>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</si>
  <si>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</si>
  <si>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</si>
  <si>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</si>
  <si>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</si>
  <si>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</si>
  <si>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</si>
  <si>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totaal</t>
  </si>
  <si>
    <t>Totaal - alles</t>
  </si>
  <si>
    <t>• Bestuursoverdracht</t>
  </si>
  <si>
    <t xml:space="preserve">Uitgaven </t>
  </si>
  <si>
    <t>Spaarrekening</t>
  </si>
  <si>
    <t>Contributie Leden</t>
  </si>
  <si>
    <t>Totaal</t>
  </si>
  <si>
    <t xml:space="preserve">• Bankkosten </t>
  </si>
  <si>
    <t xml:space="preserve">• Bestuursactiviteit </t>
  </si>
  <si>
    <t xml:space="preserve">• Cursussen </t>
  </si>
  <si>
    <t>bv. ASVA cursus teambuilding</t>
  </si>
  <si>
    <t>• Constitutieborrels</t>
  </si>
  <si>
    <t>Presentje Partners</t>
  </si>
  <si>
    <t>Sponsoring Athenaeum</t>
  </si>
  <si>
    <t>• Kantoorartikelen</t>
  </si>
  <si>
    <t xml:space="preserve">• Kascommissie </t>
  </si>
  <si>
    <t xml:space="preserve">• Sollicitatiecommissie </t>
  </si>
  <si>
    <t xml:space="preserve">• Sollicitaties </t>
  </si>
  <si>
    <t>• Buffer</t>
  </si>
  <si>
    <t>6% bovenstaande kosten</t>
  </si>
  <si>
    <t>Externe sponsoren</t>
  </si>
  <si>
    <t xml:space="preserve">• Algemene ledenvergadering </t>
  </si>
  <si>
    <t>Totaal Bestuurskosten</t>
  </si>
  <si>
    <t>• Website</t>
  </si>
  <si>
    <t>Onderhoudskosten</t>
  </si>
  <si>
    <t>Lustrum</t>
  </si>
  <si>
    <t>• Boekhoudprogramma Conscribo</t>
  </si>
  <si>
    <t>• Bijdrage LaSSA</t>
  </si>
  <si>
    <t>• Lidmaatschap FV FMG</t>
  </si>
  <si>
    <t>Efficient vergaderen</t>
  </si>
  <si>
    <t>Allemaal</t>
  </si>
  <si>
    <t xml:space="preserve">• Lidmaatschap ASVA </t>
  </si>
  <si>
    <t>Evenementen organiseren</t>
  </si>
  <si>
    <t>Anna</t>
  </si>
  <si>
    <t>Marie</t>
  </si>
  <si>
    <t>Commissies aansturen</t>
  </si>
  <si>
    <t>Roman</t>
  </si>
  <si>
    <t>Actieve leden werven</t>
  </si>
  <si>
    <t>• Kosten mini Cul</t>
  </si>
  <si>
    <t>Secretarisschap</t>
  </si>
  <si>
    <t>Mauve</t>
  </si>
  <si>
    <t>Juridische aspecten</t>
  </si>
  <si>
    <t xml:space="preserve">Totaal: </t>
  </si>
  <si>
    <t>Totaal x kosten ASVA cursussen</t>
  </si>
  <si>
    <t>• Kosten Cul (2x 75)</t>
  </si>
  <si>
    <t>Commissieoverstijgend</t>
  </si>
  <si>
    <t>totaal hierboven + conscribo (1x)</t>
  </si>
  <si>
    <t>• Promotie</t>
  </si>
  <si>
    <t>Commissie Reizen</t>
  </si>
  <si>
    <t xml:space="preserve">• Bestuur-ledenbinding </t>
  </si>
  <si>
    <t>Commissie Studieverdieping</t>
  </si>
  <si>
    <t>Commissie Sociaal</t>
  </si>
  <si>
    <t>Totaal Algemene Verenigingskosten</t>
  </si>
  <si>
    <t>• Introductiedag</t>
  </si>
  <si>
    <t>• Introductieweekend</t>
  </si>
  <si>
    <t>• Kwak op reis</t>
  </si>
  <si>
    <t>• NAO activiteit</t>
  </si>
  <si>
    <t>• Commercie</t>
  </si>
  <si>
    <t>• Etnografische Citytrip</t>
  </si>
  <si>
    <t>Totaal Commissieoverstijgend</t>
  </si>
  <si>
    <t>Te ontvangen subsidie:</t>
  </si>
  <si>
    <t>Ontvangen subsidie (70% van geheel)</t>
  </si>
  <si>
    <t>• Liftwedstrijd</t>
  </si>
  <si>
    <t>• Hunsel Antro weekend</t>
  </si>
  <si>
    <t xml:space="preserve">• Grote studiereis </t>
  </si>
  <si>
    <t>Procenten tov totaal subsidie</t>
  </si>
  <si>
    <t>Totaal Commissie Reizen</t>
  </si>
  <si>
    <t>Gekregen subsidie</t>
  </si>
  <si>
    <t>Commissie Studie</t>
  </si>
  <si>
    <t>totaal - alles</t>
  </si>
  <si>
    <t>• Congres</t>
  </si>
  <si>
    <t>• Workshops Studiebegeleiding</t>
  </si>
  <si>
    <t xml:space="preserve">• Carrièrecommissie </t>
  </si>
  <si>
    <t>• Lezingen (2x)</t>
  </si>
  <si>
    <t>• Filmavond (3x)</t>
  </si>
  <si>
    <t>66,66 per keer</t>
  </si>
  <si>
    <t>• 3 feesten</t>
  </si>
  <si>
    <t>i.s.m. andere vereniging.</t>
  </si>
  <si>
    <t>• Sociaal &amp; studie activiteit (1x)</t>
  </si>
  <si>
    <t>• De Andere Blik (2x) i.s.m. SEC</t>
  </si>
  <si>
    <t>€45,- per keer</t>
  </si>
  <si>
    <t>• Eindevenement</t>
  </si>
  <si>
    <t>• Familiedag</t>
  </si>
  <si>
    <t>i.s.m. andere vereniging &amp; docenten</t>
  </si>
  <si>
    <t>• Themaborrel (4x)</t>
  </si>
  <si>
    <t>€25,- per keer</t>
  </si>
  <si>
    <t>• Eerstejaarsactiviteit</t>
  </si>
  <si>
    <t>6%  bovenstaande, zonder congres</t>
  </si>
  <si>
    <t>• Gala</t>
  </si>
  <si>
    <t>ism andere vereniging</t>
  </si>
  <si>
    <t>Totaal Commissie Studie</t>
  </si>
  <si>
    <t>• Ontmoetingsborrel</t>
  </si>
  <si>
    <t>• Open Podium</t>
  </si>
  <si>
    <t>• Sinterklaas borrel</t>
  </si>
  <si>
    <t>Studenten &amp; docenten</t>
  </si>
  <si>
    <t>• Nieuwjaarsborrel</t>
  </si>
  <si>
    <t>• Actieve Ledenactiviteit</t>
  </si>
  <si>
    <t>6% bovenstaande, zonder 3 feesten</t>
  </si>
  <si>
    <t>Totaal Commissie Sociaal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</si>
</sst>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\-??_ ;_ @_ "/>
    <numFmt numFmtId="165" formatCode="[$€-2]\ #,##0.00"/>
  </numFmts>
  <fonts count="30">
    <font>
      <sz val="10"/>
      <color rgb="FF000000"/>
      <name val="Arial"/>
    </font>
    <font>
      <b/>
      <sz val="11"/>
      <color rgb="FF000000"/>
      <name val="Shonar bangla"/>
    </font>
    <font>
      <sz val="11"/>
      <name val="Calibri"/>
    </font>
    <font>
      <b/>
      <sz val="16"/>
      <color rgb="FF000000"/>
      <name val="Arial"/>
    </font>
    <font>
      <b/>
      <i/>
      <sz val="11"/>
      <color rgb="FF000000"/>
      <name val="Shonar bangla"/>
    </font>
    <font>
      <sz val="11"/>
      <name val="Arial"/>
    </font>
    <font>
      <b/>
      <sz val="2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i/>
      <sz val="11"/>
      <color rgb="FF000000"/>
      <name val="Arial"/>
    </font>
    <font>
      <sz val="11"/>
      <color rgb="FF000000"/>
      <name val="Shonar bangla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Inconsolata"/>
    </font>
    <font>
      <i/>
      <sz val="11"/>
      <color rgb="FF000000"/>
      <name val="Shonar bangla"/>
    </font>
    <font>
      <sz val="10"/>
      <color rgb="FFFF0000"/>
      <name val="Arial"/>
    </font>
    <font>
      <sz val="11"/>
      <name val="Shonar bangla"/>
    </font>
    <font>
      <b/>
      <sz val="10"/>
      <name val="Arial"/>
    </font>
    <font>
      <b/>
      <sz val="11"/>
      <name val="Arial"/>
    </font>
    <font>
      <b/>
      <i/>
      <sz val="11"/>
      <name val="Shonar bangla"/>
    </font>
    <font>
      <sz val="10"/>
      <color rgb="FF000000"/>
      <name val="Arial"/>
    </font>
    <font>
      <i/>
      <sz val="11"/>
      <name val="Shonar bangla"/>
    </font>
    <font>
      <sz val="11"/>
      <color rgb="FFF6B26B"/>
      <name val="Calibri"/>
    </font>
    <font>
      <b/>
      <sz val="11"/>
      <color rgb="FF000000"/>
      <name val="Arial"/>
    </font>
    <font>
      <sz val="10"/>
      <color rgb="FFFF9900"/>
      <name val="Arial"/>
    </font>
    <font>
      <i/>
      <sz val="11"/>
      <color rgb="FF000000"/>
      <name val="Arial"/>
    </font>
    <font>
      <i/>
      <sz val="11"/>
      <name val="Arial"/>
    </font>
    <font>
      <sz val="11"/>
      <name val="Arial"/>
    </font>
    <font>
      <b/>
      <sz val="11"/>
      <name val="Shonar bangla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4" xfId="0" applyFont="1" applyFill="1" applyBorder="1" applyAlignment="1">
      <alignment wrapText="1"/>
    </xf>
    <xf numFmtId="0" fontId="4" fillId="0" borderId="5" xfId="0" applyFont="1" applyBorder="1" applyAlignment="1"/>
    <xf numFmtId="0" fontId="3" fillId="2" borderId="6" xfId="0" applyFont="1" applyFill="1" applyBorder="1" applyAlignment="1"/>
    <xf numFmtId="44" fontId="2" fillId="2" borderId="3" xfId="0" applyNumberFormat="1" applyFont="1" applyFill="1" applyBorder="1" applyAlignment="1"/>
    <xf numFmtId="0" fontId="5" fillId="2" borderId="6" xfId="0" applyFont="1" applyFill="1" applyBorder="1" applyAlignment="1"/>
    <xf numFmtId="0" fontId="4" fillId="0" borderId="0" xfId="0" applyFont="1" applyAlignment="1"/>
    <xf numFmtId="0" fontId="5" fillId="2" borderId="7" xfId="0" applyFont="1" applyFill="1" applyBorder="1" applyAlignment="1"/>
    <xf numFmtId="44" fontId="4" fillId="0" borderId="8" xfId="0" applyNumberFormat="1" applyFont="1" applyBorder="1" applyAlignment="1"/>
    <xf numFmtId="0" fontId="6" fillId="0" borderId="9" xfId="0" applyFont="1" applyBorder="1" applyAlignment="1"/>
    <xf numFmtId="0" fontId="7" fillId="0" borderId="0" xfId="0" applyFont="1" applyAlignment="1"/>
    <xf numFmtId="0" fontId="5" fillId="0" borderId="9" xfId="0" applyFont="1" applyBorder="1" applyAlignment="1"/>
    <xf numFmtId="0" fontId="8" fillId="0" borderId="0" xfId="0" applyFont="1"/>
    <xf numFmtId="0" fontId="9" fillId="0" borderId="0" xfId="0" applyFont="1" applyAlignment="1"/>
    <xf numFmtId="0" fontId="10" fillId="0" borderId="5" xfId="0" applyFont="1" applyBorder="1" applyAlignment="1"/>
    <xf numFmtId="0" fontId="11" fillId="3" borderId="5" xfId="0" applyFont="1" applyFill="1" applyBorder="1" applyAlignment="1"/>
    <xf numFmtId="0" fontId="10" fillId="0" borderId="0" xfId="0" applyFont="1" applyAlignment="1"/>
    <xf numFmtId="0" fontId="2" fillId="0" borderId="0" xfId="0" applyFont="1" applyAlignment="1"/>
    <xf numFmtId="0" fontId="10" fillId="0" borderId="8" xfId="0" applyFont="1" applyBorder="1" applyAlignment="1"/>
    <xf numFmtId="164" fontId="11" fillId="0" borderId="0" xfId="0" applyNumberFormat="1" applyFont="1" applyAlignment="1">
      <alignment horizontal="right"/>
    </xf>
    <xf numFmtId="0" fontId="12" fillId="0" borderId="5" xfId="0" applyFont="1" applyBorder="1" applyAlignment="1"/>
    <xf numFmtId="164" fontId="2" fillId="0" borderId="0" xfId="0" applyNumberFormat="1" applyFont="1" applyAlignment="1"/>
    <xf numFmtId="0" fontId="5" fillId="0" borderId="0" xfId="0" applyFont="1" applyAlignment="1"/>
    <xf numFmtId="0" fontId="4" fillId="0" borderId="8" xfId="0" applyFont="1" applyBorder="1" applyAlignment="1"/>
    <xf numFmtId="164" fontId="5" fillId="0" borderId="0" xfId="0" applyNumberFormat="1" applyFont="1" applyAlignment="1"/>
    <xf numFmtId="44" fontId="11" fillId="0" borderId="8" xfId="0" applyNumberFormat="1" applyFont="1" applyBorder="1" applyAlignment="1">
      <alignment horizontal="right"/>
    </xf>
    <xf numFmtId="164" fontId="11" fillId="3" borderId="0" xfId="0" applyNumberFormat="1" applyFont="1" applyFill="1" applyAlignment="1">
      <alignment horizontal="right"/>
    </xf>
    <xf numFmtId="165" fontId="7" fillId="0" borderId="0" xfId="0" applyNumberFormat="1" applyFont="1"/>
    <xf numFmtId="164" fontId="12" fillId="0" borderId="0" xfId="0" applyNumberFormat="1" applyFont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7" fillId="0" borderId="0" xfId="0" applyNumberFormat="1" applyFont="1"/>
    <xf numFmtId="165" fontId="13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/>
    <xf numFmtId="164" fontId="12" fillId="0" borderId="0" xfId="0" applyNumberFormat="1" applyFont="1" applyAlignment="1">
      <alignment horizontal="right"/>
    </xf>
    <xf numFmtId="165" fontId="8" fillId="0" borderId="0" xfId="0" applyNumberFormat="1" applyFont="1" applyAlignment="1"/>
    <xf numFmtId="165" fontId="14" fillId="3" borderId="0" xfId="0" applyNumberFormat="1" applyFont="1" applyFill="1" applyAlignment="1"/>
    <xf numFmtId="0" fontId="5" fillId="0" borderId="5" xfId="0" applyFont="1" applyBorder="1" applyAlignment="1"/>
    <xf numFmtId="164" fontId="5" fillId="0" borderId="0" xfId="0" applyNumberFormat="1" applyFont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15" fillId="0" borderId="5" xfId="0" applyFont="1" applyBorder="1" applyAlignment="1"/>
    <xf numFmtId="165" fontId="16" fillId="0" borderId="0" xfId="0" applyNumberFormat="1" applyFont="1" applyAlignment="1"/>
    <xf numFmtId="0" fontId="17" fillId="3" borderId="5" xfId="0" applyFont="1" applyFill="1" applyBorder="1" applyAlignment="1"/>
    <xf numFmtId="164" fontId="4" fillId="0" borderId="0" xfId="0" applyNumberFormat="1" applyFont="1" applyAlignment="1">
      <alignment horizontal="right"/>
    </xf>
    <xf numFmtId="0" fontId="17" fillId="0" borderId="0" xfId="0" applyFont="1" applyAlignment="1"/>
    <xf numFmtId="164" fontId="12" fillId="3" borderId="0" xfId="0" applyNumberFormat="1" applyFont="1" applyFill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17" fillId="3" borderId="0" xfId="0" applyNumberFormat="1" applyFont="1" applyFill="1" applyAlignment="1">
      <alignment horizontal="right"/>
    </xf>
    <xf numFmtId="0" fontId="7" fillId="4" borderId="0" xfId="0" applyFont="1" applyFill="1" applyAlignment="1"/>
    <xf numFmtId="0" fontId="11" fillId="3" borderId="0" xfId="0" applyFont="1" applyFill="1" applyAlignment="1"/>
    <xf numFmtId="0" fontId="7" fillId="5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0" fontId="17" fillId="3" borderId="0" xfId="0" applyFont="1" applyFill="1" applyAlignment="1"/>
    <xf numFmtId="165" fontId="7" fillId="0" borderId="0" xfId="0" applyNumberFormat="1" applyFont="1"/>
    <xf numFmtId="164" fontId="12" fillId="0" borderId="0" xfId="0" applyNumberFormat="1" applyFont="1" applyAlignment="1">
      <alignment horizontal="right"/>
    </xf>
    <xf numFmtId="0" fontId="15" fillId="3" borderId="5" xfId="0" applyFont="1" applyFill="1" applyBorder="1" applyAlignment="1"/>
    <xf numFmtId="164" fontId="5" fillId="0" borderId="10" xfId="0" applyNumberFormat="1" applyFont="1" applyBorder="1" applyAlignment="1"/>
    <xf numFmtId="44" fontId="4" fillId="0" borderId="8" xfId="0" applyNumberFormat="1" applyFont="1" applyBorder="1" applyAlignment="1">
      <alignment horizontal="right"/>
    </xf>
    <xf numFmtId="0" fontId="18" fillId="0" borderId="0" xfId="0" applyFont="1" applyAlignment="1"/>
    <xf numFmtId="0" fontId="19" fillId="2" borderId="1" xfId="0" applyFont="1" applyFill="1" applyBorder="1" applyAlignment="1"/>
    <xf numFmtId="0" fontId="7" fillId="3" borderId="0" xfId="0" applyFont="1" applyFill="1"/>
    <xf numFmtId="0" fontId="20" fillId="0" borderId="5" xfId="0" applyFont="1" applyBorder="1" applyAlignment="1"/>
    <xf numFmtId="0" fontId="10" fillId="0" borderId="11" xfId="0" applyFont="1" applyBorder="1" applyAlignment="1"/>
    <xf numFmtId="0" fontId="5" fillId="0" borderId="12" xfId="0" applyFont="1" applyBorder="1" applyAlignment="1"/>
    <xf numFmtId="0" fontId="20" fillId="0" borderId="0" xfId="0" applyFont="1" applyAlignment="1"/>
    <xf numFmtId="164" fontId="10" fillId="0" borderId="12" xfId="0" applyNumberFormat="1" applyFont="1" applyBorder="1"/>
    <xf numFmtId="44" fontId="20" fillId="0" borderId="8" xfId="0" applyNumberFormat="1" applyFont="1" applyBorder="1" applyAlignment="1"/>
    <xf numFmtId="164" fontId="10" fillId="0" borderId="13" xfId="0" applyNumberFormat="1" applyFont="1" applyBorder="1"/>
    <xf numFmtId="164" fontId="10" fillId="3" borderId="14" xfId="0" applyNumberFormat="1" applyFont="1" applyFill="1" applyBorder="1" applyAlignment="1">
      <alignment horizontal="right"/>
    </xf>
    <xf numFmtId="44" fontId="17" fillId="0" borderId="8" xfId="0" applyNumberFormat="1" applyFont="1" applyBorder="1" applyAlignment="1">
      <alignment horizontal="right"/>
    </xf>
    <xf numFmtId="165" fontId="14" fillId="3" borderId="0" xfId="0" applyNumberFormat="1" applyFont="1" applyFill="1"/>
    <xf numFmtId="165" fontId="12" fillId="3" borderId="0" xfId="0" applyNumberFormat="1" applyFont="1" applyFill="1"/>
    <xf numFmtId="0" fontId="12" fillId="0" borderId="0" xfId="0" applyFont="1" applyAlignment="1"/>
    <xf numFmtId="0" fontId="12" fillId="3" borderId="0" xfId="0" applyFont="1" applyFill="1" applyAlignment="1"/>
    <xf numFmtId="0" fontId="17" fillId="0" borderId="5" xfId="0" applyFont="1" applyBorder="1" applyAlignment="1"/>
    <xf numFmtId="164" fontId="17" fillId="0" borderId="0" xfId="0" applyNumberFormat="1" applyFont="1" applyAlignment="1">
      <alignment horizontal="right"/>
    </xf>
    <xf numFmtId="165" fontId="0" fillId="3" borderId="0" xfId="0" applyNumberFormat="1" applyFont="1" applyFill="1" applyAlignment="1">
      <alignment horizontal="left"/>
    </xf>
    <xf numFmtId="165" fontId="21" fillId="0" borderId="0" xfId="0" applyNumberFormat="1" applyFont="1" applyAlignment="1"/>
    <xf numFmtId="165" fontId="9" fillId="0" borderId="0" xfId="0" applyNumberFormat="1" applyFont="1"/>
    <xf numFmtId="0" fontId="5" fillId="0" borderId="5" xfId="0" applyFont="1" applyBorder="1" applyAlignment="1"/>
    <xf numFmtId="164" fontId="2" fillId="0" borderId="0" xfId="0" applyNumberFormat="1" applyFont="1" applyAlignment="1"/>
    <xf numFmtId="44" fontId="5" fillId="0" borderId="8" xfId="0" applyNumberFormat="1" applyFont="1" applyBorder="1" applyAlignment="1">
      <alignment horizontal="right"/>
    </xf>
    <xf numFmtId="0" fontId="22" fillId="0" borderId="0" xfId="0" applyFont="1" applyAlignment="1"/>
    <xf numFmtId="4" fontId="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4" fontId="14" fillId="3" borderId="0" xfId="0" applyNumberFormat="1" applyFont="1" applyFill="1" applyAlignment="1"/>
    <xf numFmtId="164" fontId="20" fillId="0" borderId="8" xfId="0" applyNumberFormat="1" applyFont="1" applyBorder="1" applyAlignment="1">
      <alignment horizontal="right"/>
    </xf>
    <xf numFmtId="0" fontId="11" fillId="0" borderId="0" xfId="0" applyFont="1" applyAlignment="1"/>
    <xf numFmtId="2" fontId="9" fillId="0" borderId="0" xfId="0" applyNumberFormat="1" applyFont="1"/>
    <xf numFmtId="0" fontId="11" fillId="0" borderId="5" xfId="0" applyFont="1" applyBorder="1" applyAlignment="1"/>
    <xf numFmtId="0" fontId="15" fillId="0" borderId="0" xfId="0" applyFont="1" applyAlignment="1"/>
    <xf numFmtId="0" fontId="9" fillId="0" borderId="0" xfId="0" applyFont="1"/>
    <xf numFmtId="164" fontId="23" fillId="0" borderId="0" xfId="0" applyNumberFormat="1" applyFont="1" applyAlignment="1"/>
    <xf numFmtId="2" fontId="9" fillId="0" borderId="0" xfId="0" applyNumberFormat="1" applyFont="1" applyAlignment="1"/>
    <xf numFmtId="2" fontId="7" fillId="0" borderId="0" xfId="0" applyNumberFormat="1" applyFont="1"/>
    <xf numFmtId="0" fontId="24" fillId="2" borderId="1" xfId="0" applyFont="1" applyFill="1" applyBorder="1" applyAlignment="1"/>
    <xf numFmtId="44" fontId="2" fillId="2" borderId="2" xfId="0" applyNumberFormat="1" applyFont="1" applyFill="1" applyBorder="1" applyAlignment="1"/>
    <xf numFmtId="0" fontId="4" fillId="3" borderId="5" xfId="0" applyFont="1" applyFill="1" applyBorder="1" applyAlignment="1"/>
    <xf numFmtId="165" fontId="2" fillId="0" borderId="0" xfId="0" applyNumberFormat="1" applyFont="1" applyAlignment="1"/>
    <xf numFmtId="165" fontId="25" fillId="0" borderId="0" xfId="0" applyNumberFormat="1" applyFont="1" applyAlignment="1"/>
    <xf numFmtId="0" fontId="5" fillId="3" borderId="0" xfId="0" applyFont="1" applyFill="1" applyAlignment="1"/>
    <xf numFmtId="0" fontId="12" fillId="3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5" fillId="0" borderId="0" xfId="0" applyFont="1" applyAlignment="1"/>
    <xf numFmtId="164" fontId="5" fillId="3" borderId="0" xfId="0" applyNumberFormat="1" applyFont="1" applyFill="1" applyAlignment="1">
      <alignment horizontal="right"/>
    </xf>
    <xf numFmtId="0" fontId="27" fillId="0" borderId="0" xfId="0" applyFont="1" applyAlignment="1"/>
    <xf numFmtId="0" fontId="5" fillId="3" borderId="5" xfId="0" applyFont="1" applyFill="1" applyBorder="1" applyAlignment="1"/>
    <xf numFmtId="0" fontId="22" fillId="0" borderId="0" xfId="0" applyFont="1" applyAlignment="1"/>
    <xf numFmtId="0" fontId="5" fillId="3" borderId="5" xfId="0" applyFont="1" applyFill="1" applyBorder="1" applyAlignment="1"/>
    <xf numFmtId="0" fontId="28" fillId="3" borderId="0" xfId="0" applyFont="1" applyFill="1" applyAlignment="1"/>
    <xf numFmtId="0" fontId="28" fillId="0" borderId="0" xfId="0" applyFont="1" applyAlignment="1"/>
    <xf numFmtId="0" fontId="26" fillId="0" borderId="0" xfId="0" applyFont="1" applyAlignment="1"/>
    <xf numFmtId="165" fontId="28" fillId="0" borderId="0" xfId="0" applyNumberFormat="1" applyFont="1" applyAlignment="1"/>
    <xf numFmtId="165" fontId="28" fillId="0" borderId="0" xfId="0" applyNumberFormat="1" applyFont="1"/>
    <xf numFmtId="164" fontId="1" fillId="0" borderId="0" xfId="0" applyNumberFormat="1" applyFont="1" applyAlignment="1">
      <alignment horizontal="right"/>
    </xf>
    <xf numFmtId="44" fontId="29" fillId="0" borderId="8" xfId="0" applyNumberFormat="1" applyFont="1" applyBorder="1" applyAlignment="1">
      <alignment horizontal="right"/>
    </xf>
    <xf numFmtId="0" fontId="25" fillId="0" borderId="0" xfId="0" applyFont="1" applyAlignment="1"/>
  </cellXfs>
  <cellStyles count="1">
    <cellStyle name="Standaard" xfId="0" builtinId="0"/>
  </cellStyles>
  <dxfs count="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.75" customHeight="1"/>
  <cols>
    <col min="1" max="1" width="29.26953125" customWidth="1"/>
    <col min="5" max="5" width="15.26953125" customWidth="1"/>
    <col min="6" max="6" width="19.26953125" customWidth="1"/>
  </cols>
  <sheetData>
    <row r="1" spans="1:21" ht="15.75" customHeight="1">
      <c r="A1" s="5" t="s">
        <v>2</v>
      </c>
      <c r="B1" s="7" t="s">
        <v>1</v>
      </c>
      <c r="C1" s="9"/>
      <c r="D1" s="9"/>
      <c r="E1" s="9"/>
      <c r="F1" s="9"/>
      <c r="G1" s="11"/>
      <c r="H1" s="13" t="s">
        <v>10</v>
      </c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75" customHeight="1">
      <c r="A2" s="18" t="s">
        <v>4</v>
      </c>
      <c r="B2" s="20" t="s">
        <v>5</v>
      </c>
      <c r="C2" s="20" t="s">
        <v>26</v>
      </c>
      <c r="D2" s="20" t="s">
        <v>7</v>
      </c>
      <c r="E2" s="20" t="s">
        <v>27</v>
      </c>
      <c r="F2" s="20" t="s">
        <v>8</v>
      </c>
      <c r="G2" s="22" t="s">
        <v>9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.75" customHeight="1">
      <c r="A3" s="24" t="s">
        <v>28</v>
      </c>
      <c r="B3" s="26"/>
      <c r="C3" s="28"/>
      <c r="D3" s="32">
        <v>2100</v>
      </c>
      <c r="E3" s="28"/>
      <c r="F3" s="28"/>
      <c r="G3" s="33">
        <f t="shared" ref="G3:G5" si="0">F3+D3-C3</f>
        <v>2100</v>
      </c>
      <c r="H3" s="35">
        <f>SUM(16*20)+(2*19.76)</f>
        <v>359.52</v>
      </c>
      <c r="I3" s="37">
        <f>340+39.52</f>
        <v>379.52</v>
      </c>
      <c r="J3" s="37">
        <f>1080+60-(15*5)</f>
        <v>1065</v>
      </c>
      <c r="K3" s="39">
        <f>-(17*5)</f>
        <v>-85</v>
      </c>
      <c r="L3" s="39">
        <v>-5</v>
      </c>
      <c r="M3" s="37"/>
      <c r="N3" s="37"/>
      <c r="O3" s="37"/>
      <c r="P3" s="37"/>
      <c r="Q3" s="37"/>
      <c r="R3" s="37"/>
      <c r="S3" s="37"/>
      <c r="T3" s="16"/>
      <c r="U3" s="37">
        <f t="shared" ref="U3:U13" si="1">SUM(H3:S3)</f>
        <v>1714.04</v>
      </c>
    </row>
    <row r="4" spans="1:21" ht="15.75" customHeight="1">
      <c r="A4" s="41" t="s">
        <v>36</v>
      </c>
      <c r="B4" s="26"/>
      <c r="C4" s="28"/>
      <c r="D4" s="42">
        <v>1250</v>
      </c>
      <c r="E4" s="28"/>
      <c r="F4" s="28"/>
      <c r="G4" s="33">
        <f t="shared" si="0"/>
        <v>1250</v>
      </c>
      <c r="H4" s="37"/>
      <c r="I4" s="37">
        <f>520</f>
        <v>520</v>
      </c>
      <c r="J4" s="37"/>
      <c r="K4" s="37"/>
      <c r="L4" s="37">
        <f>603.52</f>
        <v>603.52</v>
      </c>
      <c r="M4" s="37"/>
      <c r="N4" s="37"/>
      <c r="O4" s="37"/>
      <c r="P4" s="37"/>
      <c r="Q4" s="37"/>
      <c r="R4" s="37"/>
      <c r="S4" s="37"/>
      <c r="T4" s="16"/>
      <c r="U4" s="37">
        <f t="shared" si="1"/>
        <v>1123.52</v>
      </c>
    </row>
    <row r="5" spans="1:21" ht="15.75" customHeight="1">
      <c r="A5" s="41" t="s">
        <v>43</v>
      </c>
      <c r="B5" s="26"/>
      <c r="C5" s="28"/>
      <c r="D5" s="44">
        <v>100</v>
      </c>
      <c r="E5" s="28"/>
      <c r="F5" s="28"/>
      <c r="G5" s="33">
        <f t="shared" si="0"/>
        <v>100</v>
      </c>
      <c r="H5" s="4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6"/>
      <c r="U5" s="37">
        <f t="shared" si="1"/>
        <v>0</v>
      </c>
    </row>
    <row r="6" spans="1:21" ht="15.75" customHeight="1">
      <c r="A6" s="41" t="s">
        <v>27</v>
      </c>
      <c r="B6" s="26"/>
      <c r="C6" s="28"/>
      <c r="D6" s="28"/>
      <c r="E6" s="38">
        <v>500</v>
      </c>
      <c r="F6" s="28"/>
      <c r="G6" s="33">
        <f>E6</f>
        <v>500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37">
        <f t="shared" si="1"/>
        <v>0</v>
      </c>
    </row>
    <row r="7" spans="1:21" ht="15.75" customHeight="1">
      <c r="A7" s="41" t="s">
        <v>48</v>
      </c>
      <c r="B7" s="26"/>
      <c r="C7" s="32">
        <v>250</v>
      </c>
      <c r="D7" s="28"/>
      <c r="E7" s="28"/>
      <c r="F7" s="28"/>
      <c r="G7" s="33">
        <f>-C7</f>
        <v>-250</v>
      </c>
      <c r="H7" s="37"/>
      <c r="I7" s="39">
        <v>-250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16"/>
      <c r="U7" s="37">
        <f t="shared" si="1"/>
        <v>-250</v>
      </c>
    </row>
    <row r="8" spans="1:21" ht="15.75" customHeight="1">
      <c r="A8" s="41" t="s">
        <v>0</v>
      </c>
      <c r="B8" s="26"/>
      <c r="C8" s="32">
        <f>'Algemene verengingskosten'!C16</f>
        <v>1891.6759999999999</v>
      </c>
      <c r="D8" s="32">
        <f>'Algemene verengingskosten'!D16</f>
        <v>0</v>
      </c>
      <c r="E8" s="28"/>
      <c r="F8" s="32">
        <f>'Algemene verengingskosten'!E16</f>
        <v>1459.6</v>
      </c>
      <c r="G8" s="33">
        <f t="shared" ref="G8:G13" si="2">F8+D8-C8</f>
        <v>-432.07600000000002</v>
      </c>
      <c r="H8" s="37"/>
      <c r="I8" s="37"/>
      <c r="J8" s="37"/>
      <c r="K8" s="37"/>
      <c r="L8" s="37">
        <f t="shared" ref="L8:L13" si="3">SUM(($F$36+$F$37)/100*F29)</f>
        <v>1582.629324683965</v>
      </c>
      <c r="M8" s="37"/>
      <c r="N8" s="37"/>
      <c r="O8" s="37"/>
      <c r="P8" s="37"/>
      <c r="Q8" s="37"/>
      <c r="R8" s="37"/>
      <c r="S8" s="37"/>
      <c r="T8" s="16"/>
      <c r="U8" s="37">
        <f t="shared" si="1"/>
        <v>1582.629324683965</v>
      </c>
    </row>
    <row r="9" spans="1:21" ht="15.75" customHeight="1">
      <c r="A9" s="41" t="s">
        <v>3</v>
      </c>
      <c r="B9" s="26"/>
      <c r="C9" s="32">
        <f>Bestuurskosten!C11</f>
        <v>641.29999999999995</v>
      </c>
      <c r="D9" s="32">
        <f>Bestuurskosten!D11</f>
        <v>0</v>
      </c>
      <c r="E9" s="28"/>
      <c r="F9" s="32">
        <f>Bestuurskosten!E11</f>
        <v>145</v>
      </c>
      <c r="G9" s="33">
        <f t="shared" si="2"/>
        <v>-496.29999999999995</v>
      </c>
      <c r="H9" s="37"/>
      <c r="I9" s="37"/>
      <c r="J9" s="37"/>
      <c r="K9" s="37"/>
      <c r="L9" s="37">
        <f t="shared" si="3"/>
        <v>157.22201430472387</v>
      </c>
      <c r="M9" s="37"/>
      <c r="N9" s="37"/>
      <c r="O9" s="37"/>
      <c r="P9" s="37"/>
      <c r="Q9" s="37"/>
      <c r="R9" s="37"/>
      <c r="S9" s="37"/>
      <c r="T9" s="16"/>
      <c r="U9" s="37">
        <f t="shared" si="1"/>
        <v>157.22201430472387</v>
      </c>
    </row>
    <row r="10" spans="1:21" ht="15.75" customHeight="1">
      <c r="A10" s="41" t="s">
        <v>68</v>
      </c>
      <c r="B10" s="26"/>
      <c r="C10" s="44">
        <f>Commissieoverstijgend!C8</f>
        <v>238.5</v>
      </c>
      <c r="D10" s="32">
        <f>Commissieoverstijgend!D8</f>
        <v>0</v>
      </c>
      <c r="E10" s="28"/>
      <c r="F10" s="32">
        <f>Commissieoverstijgend!E8</f>
        <v>100</v>
      </c>
      <c r="G10" s="33">
        <f t="shared" si="2"/>
        <v>-138.5</v>
      </c>
      <c r="H10" s="37"/>
      <c r="I10" s="37"/>
      <c r="J10" s="37"/>
      <c r="K10" s="37"/>
      <c r="L10" s="37">
        <f t="shared" si="3"/>
        <v>108.42897538256818</v>
      </c>
      <c r="M10" s="37"/>
      <c r="N10" s="37"/>
      <c r="O10" s="37"/>
      <c r="P10" s="37"/>
      <c r="Q10" s="37"/>
      <c r="R10" s="37"/>
      <c r="S10" s="37"/>
      <c r="T10" s="16"/>
      <c r="U10" s="37">
        <f t="shared" si="1"/>
        <v>108.42897538256818</v>
      </c>
    </row>
    <row r="11" spans="1:21" ht="15.75" customHeight="1">
      <c r="A11" s="41" t="s">
        <v>71</v>
      </c>
      <c r="B11" s="26"/>
      <c r="C11" s="44">
        <f>'Commissie Reizen'!C8</f>
        <v>25045</v>
      </c>
      <c r="D11" s="32">
        <f>'Commissie Reizen'!D8</f>
        <v>23650</v>
      </c>
      <c r="E11" s="28"/>
      <c r="F11" s="32">
        <f>'Commissie Reizen'!E8</f>
        <v>895</v>
      </c>
      <c r="G11" s="33">
        <f t="shared" si="2"/>
        <v>-500</v>
      </c>
      <c r="H11" s="37"/>
      <c r="I11" s="37"/>
      <c r="J11" s="37"/>
      <c r="K11" s="37"/>
      <c r="L11" s="37">
        <f t="shared" si="3"/>
        <v>970.43932967398518</v>
      </c>
      <c r="M11" s="37"/>
      <c r="N11" s="37"/>
      <c r="O11" s="37"/>
      <c r="P11" s="37"/>
      <c r="Q11" s="37"/>
      <c r="R11" s="37"/>
      <c r="S11" s="37"/>
      <c r="T11" s="16"/>
      <c r="U11" s="37">
        <f t="shared" si="1"/>
        <v>970.43932967398518</v>
      </c>
    </row>
    <row r="12" spans="1:21" ht="15.75" customHeight="1">
      <c r="A12" s="41" t="s">
        <v>73</v>
      </c>
      <c r="B12" s="26"/>
      <c r="C12" s="60">
        <f>'Commissie studie'!C13</f>
        <v>5073.4042399999998</v>
      </c>
      <c r="D12" s="44">
        <f>'Commissie studie'!D13</f>
        <v>2500</v>
      </c>
      <c r="E12" s="28"/>
      <c r="F12" s="28">
        <f>'Commissie studie'!E13</f>
        <v>1810</v>
      </c>
      <c r="G12" s="33">
        <f t="shared" si="2"/>
        <v>-763.40423999999985</v>
      </c>
      <c r="H12" s="37"/>
      <c r="I12" s="37"/>
      <c r="J12" s="37"/>
      <c r="K12" s="37"/>
      <c r="L12" s="37">
        <f t="shared" si="3"/>
        <v>1962.564454424484</v>
      </c>
      <c r="M12" s="37"/>
      <c r="N12" s="37"/>
      <c r="O12" s="37"/>
      <c r="P12" s="37"/>
      <c r="Q12" s="37"/>
      <c r="R12" s="37"/>
      <c r="S12" s="37"/>
      <c r="T12" s="16"/>
      <c r="U12" s="37">
        <f t="shared" si="1"/>
        <v>1962.564454424484</v>
      </c>
    </row>
    <row r="13" spans="1:21" ht="15.75" customHeight="1">
      <c r="A13" s="41" t="s">
        <v>74</v>
      </c>
      <c r="B13" s="26"/>
      <c r="C13" s="60">
        <f>'Commissie sociaal'!C13</f>
        <v>4123.5</v>
      </c>
      <c r="D13" s="28">
        <f>'Commissie sociaal'!D13</f>
        <v>2330</v>
      </c>
      <c r="E13" s="28"/>
      <c r="F13" s="28">
        <f>'Commissie sociaal'!E13</f>
        <v>400</v>
      </c>
      <c r="G13" s="33">
        <f t="shared" si="2"/>
        <v>-1393.5</v>
      </c>
      <c r="H13" s="37"/>
      <c r="I13" s="37"/>
      <c r="J13" s="37"/>
      <c r="K13" s="37"/>
      <c r="L13" s="37">
        <f t="shared" si="3"/>
        <v>433.71590153027273</v>
      </c>
      <c r="M13" s="37"/>
      <c r="N13" s="37"/>
      <c r="O13" s="37"/>
      <c r="P13" s="37"/>
      <c r="Q13" s="37"/>
      <c r="R13" s="37"/>
      <c r="S13" s="37"/>
      <c r="T13" s="16"/>
      <c r="U13" s="37">
        <f t="shared" si="1"/>
        <v>433.71590153027273</v>
      </c>
    </row>
    <row r="14" spans="1:21" ht="15.75" customHeight="1">
      <c r="A14" s="41"/>
      <c r="B14" s="26"/>
      <c r="C14" s="60"/>
      <c r="D14" s="28"/>
      <c r="E14" s="28"/>
      <c r="F14" s="28"/>
      <c r="G14" s="62"/>
      <c r="H14" s="64" t="s">
        <v>11</v>
      </c>
      <c r="I14" s="64" t="s">
        <v>12</v>
      </c>
      <c r="J14" s="64" t="s">
        <v>13</v>
      </c>
      <c r="K14" s="64" t="s">
        <v>14</v>
      </c>
      <c r="L14" s="64" t="s">
        <v>15</v>
      </c>
      <c r="M14" s="64" t="s">
        <v>16</v>
      </c>
      <c r="N14" s="64" t="s">
        <v>17</v>
      </c>
      <c r="O14" s="64" t="s">
        <v>18</v>
      </c>
      <c r="P14" s="64" t="s">
        <v>19</v>
      </c>
      <c r="Q14" s="64" t="s">
        <v>20</v>
      </c>
      <c r="R14" s="64" t="s">
        <v>21</v>
      </c>
      <c r="S14" s="64" t="s">
        <v>22</v>
      </c>
      <c r="T14" s="64" t="s">
        <v>29</v>
      </c>
      <c r="U14" s="37">
        <f>SUM(U3:U13)</f>
        <v>7802.5599999999977</v>
      </c>
    </row>
    <row r="15" spans="1:21" ht="15.75" customHeight="1">
      <c r="A15" s="68" t="s">
        <v>29</v>
      </c>
      <c r="B15" s="69"/>
      <c r="C15" s="71">
        <f t="shared" ref="C15:D15" si="4">SUM(C3:C14)</f>
        <v>37263.380239999999</v>
      </c>
      <c r="D15" s="71">
        <f t="shared" si="4"/>
        <v>31930</v>
      </c>
      <c r="E15" s="71">
        <f>SUM(E3:E13)</f>
        <v>500</v>
      </c>
      <c r="F15" s="73">
        <f t="shared" ref="F15:G15" si="5">SUM(F3:F14)</f>
        <v>4809.6000000000004</v>
      </c>
      <c r="G15" s="74">
        <f t="shared" si="5"/>
        <v>-23.780240000000049</v>
      </c>
      <c r="H15" s="77">
        <f>'Algemene verengingskosten'!G16+Bestuurskosten!G11+Commissieoverstijgend!G8+'Commissie Reizen'!G8+'Commissie studie'!G13+'Commissie sociaal'!G13</f>
        <v>1217.1500000000003</v>
      </c>
      <c r="I15" s="77">
        <f>SUM('Algemene verengingskosten'!H16+Bestuurskosten!H11+Commissieoverstijgend!H8+'Commissie Reizen'!H8+'Commissie studie'!H13+'Commissie sociaal'!H13)+520-250</f>
        <v>-1882.9299999999998</v>
      </c>
      <c r="J15" s="77">
        <f>'Algemene verengingskosten'!I16+Bestuurskosten!I11+Commissieoverstijgend!I8+'Commissie Reizen'!I8+'Commissie studie'!I13+'Commissie sociaal'!I13</f>
        <v>-1974.38</v>
      </c>
      <c r="K15" s="77">
        <f>'Algemene verengingskosten'!J16+Bestuurskosten!J11+Commissieoverstijgend!J8+'Commissie Reizen'!J8+'Commissie studie'!J13+'Commissie sociaal'!J13</f>
        <v>677.68000000000006</v>
      </c>
      <c r="L15" s="77">
        <f>'Algemene verengingskosten'!K16+Bestuurskosten!K11+Commissieoverstijgend!K8+'Commissie Reizen'!K8+'Commissie studie'!K13+'Commissie sociaal'!K13</f>
        <v>-671.9</v>
      </c>
      <c r="M15" s="77">
        <f>'Algemene verengingskosten'!L16+Bestuurskosten!L11+Commissieoverstijgend!L8+'Commissie Reizen'!L8+'Commissie studie'!L13+'Commissie sociaal'!L13</f>
        <v>0</v>
      </c>
      <c r="N15" s="77">
        <f>'Algemene verengingskosten'!M16+Bestuurskosten!M11+Commissieoverstijgend!M8+'Commissie Reizen'!M8+'Commissie studie'!M13+'Commissie sociaal'!M13</f>
        <v>0</v>
      </c>
      <c r="O15" s="77">
        <f>'Algemene verengingskosten'!N16+Bestuurskosten!N11+Commissieoverstijgend!N8+'Commissie Reizen'!N8+'Commissie studie'!N13+'Commissie sociaal'!N13</f>
        <v>0</v>
      </c>
      <c r="P15" s="77">
        <f>'Algemene verengingskosten'!O16+Bestuurskosten!O11+Commissieoverstijgend!O8+'Commissie Reizen'!O8+'Commissie studie'!O13+'Commissie sociaal'!O13</f>
        <v>0</v>
      </c>
      <c r="Q15" s="77">
        <f>'Algemene verengingskosten'!P16+Bestuurskosten!P11+Commissieoverstijgend!P8+'Commissie Reizen'!P8+'Commissie studie'!P13+'Commissie sociaal'!P13</f>
        <v>0</v>
      </c>
      <c r="R15" s="77">
        <f>'Algemene verengingskosten'!Q16+Bestuurskosten!Q11+Commissieoverstijgend!Q8+'Commissie Reizen'!Q8+'Commissie studie'!Q13+'Commissie sociaal'!Q13</f>
        <v>0</v>
      </c>
      <c r="S15" s="77">
        <f>'Algemene verengingskosten'!R16+Bestuurskosten!R11+Commissieoverstijgend!R8+'Commissie Reizen'!R8+'Commissie studie'!R13+'Commissie sociaal'!R13</f>
        <v>0</v>
      </c>
      <c r="T15" s="37">
        <f>SUM(H15:S15)+(U14)</f>
        <v>5168.1799999999985</v>
      </c>
      <c r="U15" s="16"/>
    </row>
    <row r="17" spans="3:12" ht="15.75" customHeight="1">
      <c r="F17" s="14" t="s">
        <v>83</v>
      </c>
      <c r="I17" s="89"/>
      <c r="L17" s="14" t="s">
        <v>84</v>
      </c>
    </row>
    <row r="18" spans="3:12" ht="15.75" customHeight="1">
      <c r="C18" s="91"/>
      <c r="F18" s="94">
        <f>3876/70*100</f>
        <v>5537.1428571428578</v>
      </c>
      <c r="G18">
        <f>SUM(F18*0.3)</f>
        <v>1661.1428571428573</v>
      </c>
      <c r="H18">
        <f>SUM(G18*0.1867)</f>
        <v>310.13537142857149</v>
      </c>
      <c r="L18" s="97">
        <f>3876</f>
        <v>3876</v>
      </c>
    </row>
    <row r="19" spans="3:12" ht="15.75" customHeight="1">
      <c r="F19" s="99">
        <f>1339/70*100</f>
        <v>1912.8571428571429</v>
      </c>
      <c r="L19" s="17">
        <v>1339</v>
      </c>
    </row>
    <row r="20" spans="3:12" ht="15.75" customHeight="1">
      <c r="L20">
        <f>L18+L19</f>
        <v>5215</v>
      </c>
    </row>
    <row r="28" spans="3:12" ht="12.5">
      <c r="E28" s="14" t="s">
        <v>88</v>
      </c>
    </row>
    <row r="29" spans="3:12" ht="12.5">
      <c r="F29" s="100">
        <f>SUM(F8/F15*100)</f>
        <v>30.347638057218891</v>
      </c>
    </row>
    <row r="30" spans="3:12" ht="12.5">
      <c r="F30" s="100">
        <f t="shared" ref="F30:F34" si="6">SUM(F9/$F$15*100)</f>
        <v>3.0148037258815701</v>
      </c>
    </row>
    <row r="31" spans="3:12" ht="12.5">
      <c r="F31" s="100">
        <f t="shared" si="6"/>
        <v>2.0791749833665998</v>
      </c>
    </row>
    <row r="32" spans="3:12" ht="12.5">
      <c r="F32" s="100">
        <f t="shared" si="6"/>
        <v>18.608616101131069</v>
      </c>
    </row>
    <row r="33" spans="5:6" ht="12.5">
      <c r="F33" s="100">
        <f t="shared" si="6"/>
        <v>37.633067198935457</v>
      </c>
    </row>
    <row r="34" spans="5:6" ht="12.5">
      <c r="F34" s="100">
        <f t="shared" si="6"/>
        <v>8.3166999334663991</v>
      </c>
    </row>
    <row r="35" spans="5:6" ht="12.5">
      <c r="E35" s="14" t="s">
        <v>90</v>
      </c>
    </row>
    <row r="36" spans="5:6" ht="13">
      <c r="F36" s="97">
        <f>3876</f>
        <v>3876</v>
      </c>
    </row>
    <row r="37" spans="5:6" ht="13">
      <c r="F37" s="17">
        <v>1339</v>
      </c>
    </row>
  </sheetData>
  <customSheetViews>
    <customSheetView guid="{6841AB6A-B652-456A-9780-2D9C5380FC0C}" filter="1" showAutoFilter="1">
      <pageMargins left="0.7" right="0.7" top="0.75" bottom="0.75" header="0.3" footer="0.3"/>
      <autoFilter ref="C15:G19" xr:uid="{00000000-0000-0000-0000-000000000000}"/>
    </customSheetView>
  </customSheetViews>
  <conditionalFormatting sqref="G15">
    <cfRule type="cellIs" dxfId="2" priority="1" operator="greaterThan">
      <formula>0</formula>
    </cfRule>
  </conditionalFormatting>
  <conditionalFormatting sqref="G15">
    <cfRule type="cellIs" dxfId="1" priority="2" operator="greaterThanOrEqual">
      <formula>0</formula>
    </cfRule>
  </conditionalFormatting>
  <conditionalFormatting sqref="G15">
    <cfRule type="cellIs" dxfId="0" priority="3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.75" customHeight="1"/>
  <cols>
    <col min="1" max="1" width="33.7265625" customWidth="1"/>
    <col min="2" max="2" width="25.81640625" customWidth="1"/>
    <col min="5" max="5" width="19.26953125" customWidth="1"/>
  </cols>
  <sheetData>
    <row r="1" spans="1:20" ht="15.75" customHeight="1">
      <c r="A1" s="1" t="s">
        <v>0</v>
      </c>
      <c r="B1" s="2" t="s">
        <v>1</v>
      </c>
      <c r="C1" s="3"/>
      <c r="D1" s="3"/>
      <c r="E1" s="3"/>
      <c r="F1" s="4"/>
    </row>
    <row r="2" spans="1:20" ht="15.75" customHeight="1">
      <c r="A2" s="6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27" t="s">
        <v>9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7" t="s">
        <v>29</v>
      </c>
      <c r="T2" s="14" t="s">
        <v>24</v>
      </c>
    </row>
    <row r="3" spans="1:20" ht="15.75" customHeight="1">
      <c r="A3" s="19" t="s">
        <v>30</v>
      </c>
      <c r="B3" s="21"/>
      <c r="C3" s="30">
        <v>200</v>
      </c>
      <c r="D3" s="23">
        <v>0</v>
      </c>
      <c r="E3" s="23">
        <v>200</v>
      </c>
      <c r="F3" s="29">
        <f t="shared" ref="F3:F15" si="0">D3+E3-C3</f>
        <v>0</v>
      </c>
      <c r="G3" s="31"/>
      <c r="H3" s="36">
        <f>-52.43</f>
        <v>-52.43</v>
      </c>
      <c r="I3" s="36">
        <f>-12.55-0.5</f>
        <v>-13.05</v>
      </c>
      <c r="J3" s="31">
        <f>-38-37.74</f>
        <v>-75.740000000000009</v>
      </c>
      <c r="K3" s="40"/>
      <c r="L3" s="31"/>
      <c r="M3" s="31"/>
      <c r="N3" s="31"/>
      <c r="O3" s="31"/>
      <c r="P3" s="31"/>
      <c r="Q3" s="31"/>
      <c r="R3" s="31"/>
      <c r="S3" s="31">
        <f t="shared" ref="S3:S16" si="1">SUM(G3:R3)</f>
        <v>-141.22000000000003</v>
      </c>
      <c r="T3" s="34">
        <f t="shared" ref="T3:T16" si="2">SUM(C3+S3)</f>
        <v>58.779999999999973</v>
      </c>
    </row>
    <row r="4" spans="1:20" ht="15.75" customHeight="1">
      <c r="A4" s="19" t="s">
        <v>37</v>
      </c>
      <c r="B4" s="21"/>
      <c r="C4" s="43">
        <v>125</v>
      </c>
      <c r="D4" s="23">
        <v>0</v>
      </c>
      <c r="E4" s="38">
        <v>50</v>
      </c>
      <c r="F4" s="29">
        <f t="shared" si="0"/>
        <v>-75</v>
      </c>
      <c r="G4" s="31">
        <f>SUM(-27.83-5.76)</f>
        <v>-33.589999999999996</v>
      </c>
      <c r="H4" s="31"/>
      <c r="I4" s="36">
        <f>-16.5</f>
        <v>-16.5</v>
      </c>
      <c r="J4" s="31"/>
      <c r="K4" s="31"/>
      <c r="L4" s="31"/>
      <c r="M4" s="31"/>
      <c r="N4" s="31"/>
      <c r="O4" s="31"/>
      <c r="P4" s="31"/>
      <c r="Q4" s="31"/>
      <c r="R4" s="31"/>
      <c r="S4" s="31">
        <f t="shared" si="1"/>
        <v>-50.089999999999996</v>
      </c>
      <c r="T4" s="34">
        <f t="shared" si="2"/>
        <v>74.91</v>
      </c>
    </row>
    <row r="5" spans="1:20" ht="15.75" customHeight="1">
      <c r="A5" s="19" t="s">
        <v>44</v>
      </c>
      <c r="B5" s="21"/>
      <c r="C5" s="30">
        <v>100</v>
      </c>
      <c r="D5" s="23">
        <v>0</v>
      </c>
      <c r="E5" s="23">
        <v>100</v>
      </c>
      <c r="F5" s="29">
        <f t="shared" si="0"/>
        <v>0</v>
      </c>
      <c r="G5" s="31">
        <f>SUM(-45.41)</f>
        <v>-45.41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>
        <f t="shared" si="1"/>
        <v>-45.41</v>
      </c>
      <c r="T5" s="34">
        <f t="shared" si="2"/>
        <v>54.59</v>
      </c>
    </row>
    <row r="6" spans="1:20" ht="15.75" customHeight="1">
      <c r="A6" s="47" t="s">
        <v>46</v>
      </c>
      <c r="B6" s="49" t="s">
        <v>47</v>
      </c>
      <c r="C6" s="50">
        <v>230</v>
      </c>
      <c r="D6" s="23">
        <v>0</v>
      </c>
      <c r="E6" s="38">
        <v>180</v>
      </c>
      <c r="F6" s="29">
        <f t="shared" si="0"/>
        <v>-50</v>
      </c>
      <c r="G6" s="31"/>
      <c r="H6" s="36">
        <v>11.4</v>
      </c>
      <c r="I6" s="36">
        <v>18.899999999999999</v>
      </c>
      <c r="J6" s="31"/>
      <c r="K6" s="31"/>
      <c r="L6" s="31"/>
      <c r="M6" s="31"/>
      <c r="N6" s="31"/>
      <c r="O6" s="31"/>
      <c r="P6" s="31"/>
      <c r="Q6" s="31"/>
      <c r="R6" s="31"/>
      <c r="S6" s="31">
        <f t="shared" si="1"/>
        <v>30.299999999999997</v>
      </c>
      <c r="T6" s="34">
        <f t="shared" si="2"/>
        <v>260.3</v>
      </c>
    </row>
    <row r="7" spans="1:20" ht="15.75" customHeight="1">
      <c r="A7" s="19" t="s">
        <v>49</v>
      </c>
      <c r="B7" s="21"/>
      <c r="C7" s="50">
        <v>217.1</v>
      </c>
      <c r="D7" s="23">
        <v>0</v>
      </c>
      <c r="E7" s="38">
        <v>217.1</v>
      </c>
      <c r="F7" s="29">
        <f t="shared" si="0"/>
        <v>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>
        <f t="shared" si="1"/>
        <v>0</v>
      </c>
      <c r="T7" s="34">
        <f t="shared" si="2"/>
        <v>217.1</v>
      </c>
    </row>
    <row r="8" spans="1:20" ht="15.75" customHeight="1">
      <c r="A8" s="19" t="s">
        <v>50</v>
      </c>
      <c r="B8" s="21"/>
      <c r="C8" s="52">
        <v>150</v>
      </c>
      <c r="D8" s="23">
        <v>0</v>
      </c>
      <c r="E8" s="23">
        <v>150</v>
      </c>
      <c r="F8" s="29">
        <f t="shared" si="0"/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>
        <f t="shared" si="1"/>
        <v>0</v>
      </c>
      <c r="T8" s="34">
        <f t="shared" si="2"/>
        <v>150</v>
      </c>
    </row>
    <row r="9" spans="1:20" ht="15.75" customHeight="1">
      <c r="A9" s="19" t="s">
        <v>51</v>
      </c>
      <c r="B9" s="21"/>
      <c r="C9" s="43">
        <v>100</v>
      </c>
      <c r="D9" s="38">
        <v>0</v>
      </c>
      <c r="E9" s="38">
        <v>100</v>
      </c>
      <c r="F9" s="29">
        <f t="shared" si="0"/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>
        <f t="shared" si="1"/>
        <v>0</v>
      </c>
      <c r="T9" s="34">
        <f t="shared" si="2"/>
        <v>100</v>
      </c>
    </row>
    <row r="10" spans="1:20" ht="15.75" customHeight="1">
      <c r="A10" s="54" t="s">
        <v>54</v>
      </c>
      <c r="B10" s="21"/>
      <c r="C10" s="30">
        <v>12.5</v>
      </c>
      <c r="D10" s="23">
        <v>0</v>
      </c>
      <c r="E10" s="23">
        <v>12.5</v>
      </c>
      <c r="F10" s="29">
        <f t="shared" si="0"/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>
        <f t="shared" si="1"/>
        <v>0</v>
      </c>
      <c r="T10" s="34">
        <f t="shared" si="2"/>
        <v>12.5</v>
      </c>
    </row>
    <row r="11" spans="1:20" ht="15.75" customHeight="1">
      <c r="A11" s="56" t="s">
        <v>61</v>
      </c>
      <c r="B11" s="57"/>
      <c r="C11" s="43">
        <v>150</v>
      </c>
      <c r="D11" s="23">
        <v>0</v>
      </c>
      <c r="E11" s="50">
        <v>150</v>
      </c>
      <c r="F11" s="29">
        <f t="shared" si="0"/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>
        <f t="shared" si="1"/>
        <v>0</v>
      </c>
      <c r="T11" s="34">
        <f t="shared" si="2"/>
        <v>150</v>
      </c>
    </row>
    <row r="12" spans="1:20" ht="15.75" customHeight="1">
      <c r="A12" s="58" t="s">
        <v>67</v>
      </c>
      <c r="B12" s="57"/>
      <c r="C12" s="52">
        <v>150</v>
      </c>
      <c r="D12" s="23">
        <v>0</v>
      </c>
      <c r="E12" s="30">
        <v>150</v>
      </c>
      <c r="F12" s="29">
        <f t="shared" si="0"/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>
        <f t="shared" si="1"/>
        <v>0</v>
      </c>
      <c r="T12" s="34">
        <f t="shared" si="2"/>
        <v>150</v>
      </c>
    </row>
    <row r="13" spans="1:20" ht="15.75" customHeight="1">
      <c r="A13" s="58" t="s">
        <v>70</v>
      </c>
      <c r="B13" s="21"/>
      <c r="C13" s="43">
        <v>250</v>
      </c>
      <c r="D13" s="23">
        <v>0</v>
      </c>
      <c r="E13" s="38">
        <v>150</v>
      </c>
      <c r="F13" s="29">
        <f t="shared" si="0"/>
        <v>-100</v>
      </c>
      <c r="G13" s="31">
        <f>SUM(-31.5-4.98)</f>
        <v>-36.480000000000004</v>
      </c>
      <c r="H13" s="31">
        <f>(-43)</f>
        <v>-43</v>
      </c>
      <c r="I13" s="31"/>
      <c r="J13" s="31"/>
      <c r="K13" s="36">
        <v>-5.5</v>
      </c>
      <c r="L13" s="31"/>
      <c r="M13" s="31"/>
      <c r="N13" s="31"/>
      <c r="O13" s="31"/>
      <c r="P13" s="31"/>
      <c r="Q13" s="31"/>
      <c r="R13" s="31"/>
      <c r="S13" s="31">
        <f t="shared" si="1"/>
        <v>-84.98</v>
      </c>
      <c r="T13" s="34">
        <f t="shared" si="2"/>
        <v>165.01999999999998</v>
      </c>
    </row>
    <row r="14" spans="1:20" ht="15.75" customHeight="1">
      <c r="A14" s="56" t="s">
        <v>72</v>
      </c>
      <c r="B14" s="21"/>
      <c r="C14" s="43">
        <v>100</v>
      </c>
      <c r="D14" s="23">
        <v>0</v>
      </c>
      <c r="E14" s="38">
        <v>0</v>
      </c>
      <c r="F14" s="29">
        <f t="shared" si="0"/>
        <v>-100</v>
      </c>
      <c r="G14" s="31">
        <f>SUM(-1.5)</f>
        <v>-1.5</v>
      </c>
      <c r="H14" s="31">
        <f>-2.13</f>
        <v>-2.13</v>
      </c>
      <c r="I14" s="31">
        <f>-7.99</f>
        <v>-7.99</v>
      </c>
      <c r="J14" s="31">
        <f>-1.21</f>
        <v>-1.21</v>
      </c>
      <c r="K14" s="31">
        <f>-1.94</f>
        <v>-1.94</v>
      </c>
      <c r="L14" s="31"/>
      <c r="M14" s="31"/>
      <c r="N14" s="31"/>
      <c r="O14" s="31"/>
      <c r="P14" s="31"/>
      <c r="Q14" s="31"/>
      <c r="R14" s="31"/>
      <c r="S14" s="31">
        <f t="shared" si="1"/>
        <v>-14.770000000000001</v>
      </c>
      <c r="T14" s="34">
        <f t="shared" si="2"/>
        <v>85.23</v>
      </c>
    </row>
    <row r="15" spans="1:20" ht="15.75" customHeight="1">
      <c r="A15" s="19" t="s">
        <v>41</v>
      </c>
      <c r="B15" s="21" t="s">
        <v>42</v>
      </c>
      <c r="C15" s="23">
        <f>SUM(C3:C14)*0.06</f>
        <v>107.07599999999999</v>
      </c>
      <c r="D15" s="23">
        <v>0</v>
      </c>
      <c r="E15" s="25"/>
      <c r="F15" s="29">
        <f t="shared" si="0"/>
        <v>-107.07599999999999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>
        <f t="shared" si="1"/>
        <v>0</v>
      </c>
      <c r="T15" s="34">
        <f t="shared" si="2"/>
        <v>107.07599999999999</v>
      </c>
    </row>
    <row r="16" spans="1:20" ht="15.75" customHeight="1">
      <c r="A16" s="61" t="s">
        <v>75</v>
      </c>
      <c r="B16" s="21"/>
      <c r="C16" s="48">
        <f t="shared" ref="C16:F16" si="3">SUM(C3:C15)</f>
        <v>1891.6759999999999</v>
      </c>
      <c r="D16" s="48">
        <f t="shared" si="3"/>
        <v>0</v>
      </c>
      <c r="E16" s="48">
        <f t="shared" si="3"/>
        <v>1459.6</v>
      </c>
      <c r="F16" s="63">
        <f t="shared" si="3"/>
        <v>-432.07600000000002</v>
      </c>
      <c r="G16" s="31">
        <f t="shared" ref="G16:R16" si="4">SUM(G2:G15)</f>
        <v>-116.98</v>
      </c>
      <c r="H16" s="31">
        <f t="shared" si="4"/>
        <v>-86.16</v>
      </c>
      <c r="I16" s="31">
        <f t="shared" si="4"/>
        <v>-18.64</v>
      </c>
      <c r="J16" s="31">
        <f t="shared" si="4"/>
        <v>-76.95</v>
      </c>
      <c r="K16" s="31">
        <f t="shared" si="4"/>
        <v>-7.4399999999999995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0</v>
      </c>
      <c r="P16" s="31">
        <f t="shared" si="4"/>
        <v>0</v>
      </c>
      <c r="Q16" s="31">
        <f t="shared" si="4"/>
        <v>0</v>
      </c>
      <c r="R16" s="31">
        <f t="shared" si="4"/>
        <v>0</v>
      </c>
      <c r="S16" s="31">
        <f t="shared" si="1"/>
        <v>-306.16999999999996</v>
      </c>
      <c r="T16" s="34">
        <f t="shared" si="2"/>
        <v>1585.5059999999999</v>
      </c>
    </row>
    <row r="17" spans="1:1" ht="15.75" customHeight="1">
      <c r="A17" s="66"/>
    </row>
    <row r="18" spans="1:1" ht="15.75" customHeight="1">
      <c r="A18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.75" customHeight="1"/>
  <cols>
    <col min="1" max="1" width="21.81640625" customWidth="1"/>
    <col min="2" max="2" width="28.08984375" customWidth="1"/>
    <col min="5" max="5" width="19.26953125" customWidth="1"/>
  </cols>
  <sheetData>
    <row r="1" spans="1:20" ht="15.75" customHeight="1">
      <c r="A1" s="1" t="s">
        <v>3</v>
      </c>
      <c r="B1" s="3"/>
      <c r="C1" s="3"/>
      <c r="D1" s="3"/>
      <c r="E1" s="3"/>
      <c r="F1" s="8"/>
    </row>
    <row r="2" spans="1:20" ht="15.75" customHeight="1">
      <c r="A2" s="6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2" t="s">
        <v>9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7" t="s">
        <v>23</v>
      </c>
      <c r="T2" s="14" t="s">
        <v>24</v>
      </c>
    </row>
    <row r="3" spans="1:20" ht="15.75" customHeight="1">
      <c r="A3" s="19" t="s">
        <v>25</v>
      </c>
      <c r="B3" s="21"/>
      <c r="C3" s="23">
        <v>100</v>
      </c>
      <c r="D3" s="25"/>
      <c r="E3" s="25"/>
      <c r="F3" s="29">
        <f t="shared" ref="F3:F10" si="0">D3+E3-C3</f>
        <v>-100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>
        <f t="shared" ref="S3:S11" si="1">SUM(G3:R3)</f>
        <v>0</v>
      </c>
      <c r="T3" s="34">
        <f t="shared" ref="T3:T11" si="2">SUM(C3+S3)</f>
        <v>100</v>
      </c>
    </row>
    <row r="4" spans="1:20" ht="15.75" customHeight="1">
      <c r="A4" s="19" t="s">
        <v>31</v>
      </c>
      <c r="B4" s="21"/>
      <c r="C4" s="23">
        <v>200</v>
      </c>
      <c r="D4" s="25"/>
      <c r="E4" s="25"/>
      <c r="F4" s="29">
        <f t="shared" si="0"/>
        <v>-200</v>
      </c>
      <c r="G4" s="31"/>
      <c r="H4" s="31"/>
      <c r="I4" s="31"/>
      <c r="J4" s="31">
        <f>-179.2</f>
        <v>-179.2</v>
      </c>
      <c r="K4" s="31"/>
      <c r="L4" s="31"/>
      <c r="M4" s="31"/>
      <c r="N4" s="31"/>
      <c r="O4" s="31"/>
      <c r="P4" s="31"/>
      <c r="Q4" s="31"/>
      <c r="R4" s="31"/>
      <c r="S4" s="31">
        <f t="shared" si="1"/>
        <v>-179.2</v>
      </c>
      <c r="T4" s="34">
        <f t="shared" si="2"/>
        <v>20.800000000000011</v>
      </c>
    </row>
    <row r="5" spans="1:20" ht="15.75" customHeight="1">
      <c r="A5" s="19" t="s">
        <v>32</v>
      </c>
      <c r="B5" s="21" t="s">
        <v>33</v>
      </c>
      <c r="C5" s="38">
        <f>C22</f>
        <v>145</v>
      </c>
      <c r="D5" s="25"/>
      <c r="E5" s="38">
        <v>145</v>
      </c>
      <c r="F5" s="29">
        <f t="shared" si="0"/>
        <v>0</v>
      </c>
      <c r="G5" s="31"/>
      <c r="H5" s="31"/>
      <c r="I5" s="31"/>
      <c r="J5" s="31">
        <f>-25</f>
        <v>-25</v>
      </c>
      <c r="K5" s="31"/>
      <c r="L5" s="31"/>
      <c r="M5" s="31"/>
      <c r="N5" s="31"/>
      <c r="O5" s="31"/>
      <c r="P5" s="31"/>
      <c r="Q5" s="31"/>
      <c r="R5" s="31"/>
      <c r="S5" s="31">
        <f t="shared" si="1"/>
        <v>-25</v>
      </c>
      <c r="T5" s="34">
        <f t="shared" si="2"/>
        <v>120</v>
      </c>
    </row>
    <row r="6" spans="1:20" ht="15.75" customHeight="1">
      <c r="A6" s="19" t="s">
        <v>34</v>
      </c>
      <c r="B6" s="21" t="s">
        <v>35</v>
      </c>
      <c r="C6" s="23">
        <v>50</v>
      </c>
      <c r="D6" s="25"/>
      <c r="E6" s="25"/>
      <c r="F6" s="29">
        <f t="shared" si="0"/>
        <v>-50</v>
      </c>
      <c r="G6" s="31">
        <f>SUM(-4.99-4.89-6.07-16.14)</f>
        <v>-32.090000000000003</v>
      </c>
      <c r="H6" s="31">
        <f>-4.99</f>
        <v>-4.99</v>
      </c>
      <c r="I6" s="31">
        <f>-3.5-3.94-1.99</f>
        <v>-9.43</v>
      </c>
      <c r="J6" s="31"/>
      <c r="K6" s="31"/>
      <c r="L6" s="31"/>
      <c r="M6" s="31"/>
      <c r="N6" s="31"/>
      <c r="O6" s="31"/>
      <c r="P6" s="31"/>
      <c r="Q6" s="31"/>
      <c r="R6" s="31"/>
      <c r="S6" s="31">
        <f t="shared" si="1"/>
        <v>-46.510000000000005</v>
      </c>
      <c r="T6" s="34">
        <f t="shared" si="2"/>
        <v>3.4899999999999949</v>
      </c>
    </row>
    <row r="7" spans="1:20" ht="15.75" customHeight="1">
      <c r="A7" s="19" t="s">
        <v>38</v>
      </c>
      <c r="B7" s="21"/>
      <c r="C7" s="38">
        <v>30</v>
      </c>
      <c r="D7" s="25"/>
      <c r="E7" s="25"/>
      <c r="F7" s="29">
        <f t="shared" si="0"/>
        <v>-30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>
        <f t="shared" si="1"/>
        <v>0</v>
      </c>
      <c r="T7" s="34">
        <f t="shared" si="2"/>
        <v>30</v>
      </c>
    </row>
    <row r="8" spans="1:20" ht="15.75" customHeight="1">
      <c r="A8" s="19" t="s">
        <v>39</v>
      </c>
      <c r="B8" s="21"/>
      <c r="C8" s="38">
        <v>40</v>
      </c>
      <c r="D8" s="25"/>
      <c r="E8" s="25"/>
      <c r="F8" s="29">
        <f t="shared" si="0"/>
        <v>-40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>
        <f t="shared" si="1"/>
        <v>0</v>
      </c>
      <c r="T8" s="34">
        <f t="shared" si="2"/>
        <v>40</v>
      </c>
    </row>
    <row r="9" spans="1:20" ht="15.75" customHeight="1">
      <c r="A9" s="19" t="s">
        <v>40</v>
      </c>
      <c r="B9" s="21"/>
      <c r="C9" s="38">
        <v>40</v>
      </c>
      <c r="D9" s="25"/>
      <c r="E9" s="25"/>
      <c r="F9" s="29">
        <f t="shared" si="0"/>
        <v>-40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>
        <f t="shared" si="1"/>
        <v>0</v>
      </c>
      <c r="T9" s="34">
        <f t="shared" si="2"/>
        <v>40</v>
      </c>
    </row>
    <row r="10" spans="1:20" ht="15.75" customHeight="1">
      <c r="A10" s="19" t="s">
        <v>41</v>
      </c>
      <c r="B10" s="21" t="s">
        <v>42</v>
      </c>
      <c r="C10" s="23">
        <f>SUM(C3:C9)*0.06</f>
        <v>36.299999999999997</v>
      </c>
      <c r="D10" s="25"/>
      <c r="E10" s="25"/>
      <c r="F10" s="29">
        <f t="shared" si="0"/>
        <v>-36.299999999999997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>
        <f t="shared" si="1"/>
        <v>0</v>
      </c>
      <c r="T10" s="34">
        <f t="shared" si="2"/>
        <v>36.299999999999997</v>
      </c>
    </row>
    <row r="11" spans="1:20" ht="15.75" customHeight="1">
      <c r="A11" s="45" t="s">
        <v>45</v>
      </c>
      <c r="B11" s="21"/>
      <c r="C11" s="48">
        <f>SUM(C3:C10)</f>
        <v>641.29999999999995</v>
      </c>
      <c r="D11" s="48">
        <f>SUM(D3:D8)</f>
        <v>0</v>
      </c>
      <c r="E11" s="48">
        <f t="shared" ref="E11:F11" si="3">SUM(E3:E10)</f>
        <v>145</v>
      </c>
      <c r="F11" s="51">
        <f t="shared" si="3"/>
        <v>-496.3</v>
      </c>
      <c r="G11" s="31">
        <f t="shared" ref="G11:R11" si="4">SUM(G2:G10)</f>
        <v>-32.090000000000003</v>
      </c>
      <c r="H11" s="31">
        <f t="shared" si="4"/>
        <v>-4.99</v>
      </c>
      <c r="I11" s="31">
        <f t="shared" si="4"/>
        <v>-9.43</v>
      </c>
      <c r="J11" s="31">
        <f t="shared" si="4"/>
        <v>-204.2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1"/>
        <v>-250.70999999999998</v>
      </c>
      <c r="T11" s="34">
        <f t="shared" si="2"/>
        <v>390.59</v>
      </c>
    </row>
    <row r="14" spans="1:20" ht="15.75" customHeight="1">
      <c r="A14" s="14" t="s">
        <v>52</v>
      </c>
      <c r="B14" s="14">
        <v>5</v>
      </c>
      <c r="C14" s="53" t="s">
        <v>53</v>
      </c>
    </row>
    <row r="15" spans="1:20" ht="15.75" customHeight="1">
      <c r="A15" s="14" t="s">
        <v>55</v>
      </c>
      <c r="B15" s="14">
        <v>2</v>
      </c>
      <c r="C15" s="55" t="s">
        <v>56</v>
      </c>
      <c r="D15" s="55" t="s">
        <v>57</v>
      </c>
    </row>
    <row r="16" spans="1:20" ht="15.75" customHeight="1">
      <c r="A16" s="14" t="s">
        <v>58</v>
      </c>
      <c r="B16" s="14">
        <v>3</v>
      </c>
      <c r="C16" s="55" t="s">
        <v>56</v>
      </c>
      <c r="D16" s="55" t="s">
        <v>57</v>
      </c>
      <c r="E16" s="55" t="s">
        <v>59</v>
      </c>
    </row>
    <row r="17" spans="1:4" ht="15.75" customHeight="1">
      <c r="A17" s="14" t="s">
        <v>60</v>
      </c>
      <c r="B17" s="14">
        <v>2</v>
      </c>
      <c r="C17" s="14" t="s">
        <v>56</v>
      </c>
      <c r="D17" s="14" t="s">
        <v>57</v>
      </c>
    </row>
    <row r="18" spans="1:4" ht="15.75" customHeight="1">
      <c r="A18" s="14" t="s">
        <v>62</v>
      </c>
      <c r="B18" s="14">
        <v>1</v>
      </c>
      <c r="C18" s="53" t="s">
        <v>63</v>
      </c>
    </row>
    <row r="19" spans="1:4" ht="15.75" customHeight="1">
      <c r="A19" s="14" t="s">
        <v>64</v>
      </c>
      <c r="B19" s="14">
        <v>1</v>
      </c>
      <c r="C19" s="14" t="s">
        <v>56</v>
      </c>
    </row>
    <row r="20" spans="1:4" ht="15.75" customHeight="1">
      <c r="A20" s="14" t="s">
        <v>65</v>
      </c>
      <c r="B20">
        <f>SUM(B14:B19)</f>
        <v>14</v>
      </c>
    </row>
    <row r="21" spans="1:4" ht="15.75" customHeight="1">
      <c r="B21" s="14" t="s">
        <v>66</v>
      </c>
      <c r="C21" s="59">
        <f>SUM(B20*5)</f>
        <v>70</v>
      </c>
    </row>
    <row r="22" spans="1:4" ht="15.75" customHeight="1">
      <c r="B22" s="14" t="s">
        <v>69</v>
      </c>
      <c r="C22" s="59">
        <f>SUM(C21+75)</f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1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.75" customHeight="1"/>
  <cols>
    <col min="1" max="1" width="28.26953125" customWidth="1"/>
    <col min="2" max="2" width="21.7265625" customWidth="1"/>
    <col min="5" max="5" width="19.26953125" customWidth="1"/>
  </cols>
  <sheetData>
    <row r="1" spans="1:20">
      <c r="A1" s="65" t="s">
        <v>68</v>
      </c>
      <c r="B1" s="3"/>
      <c r="C1" s="3"/>
      <c r="D1" s="3"/>
      <c r="E1" s="3"/>
      <c r="F1" s="8"/>
    </row>
    <row r="2" spans="1:20" ht="15.75" customHeight="1">
      <c r="A2" s="67" t="s">
        <v>4</v>
      </c>
      <c r="B2" s="70" t="s">
        <v>5</v>
      </c>
      <c r="C2" s="70" t="s">
        <v>6</v>
      </c>
      <c r="D2" s="70" t="s">
        <v>7</v>
      </c>
      <c r="E2" s="70" t="s">
        <v>8</v>
      </c>
      <c r="F2" s="72" t="s">
        <v>9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7" t="s">
        <v>29</v>
      </c>
      <c r="T2" s="14" t="s">
        <v>24</v>
      </c>
    </row>
    <row r="3" spans="1:20" ht="15.75" customHeight="1">
      <c r="A3" s="49" t="s">
        <v>76</v>
      </c>
      <c r="B3" s="21"/>
      <c r="C3" s="42">
        <v>100</v>
      </c>
      <c r="D3" s="25"/>
      <c r="E3" s="42">
        <v>100</v>
      </c>
      <c r="F3" s="75">
        <f t="shared" ref="F3:F5" si="0">E3+D3-C3</f>
        <v>0</v>
      </c>
      <c r="G3" s="76">
        <f>SUM(-79.5)</f>
        <v>-79.5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>
        <f t="shared" ref="S3:S5" si="1">SUM(G3:R3)</f>
        <v>-79.5</v>
      </c>
      <c r="T3" s="34">
        <f t="shared" ref="T3:T5" si="2">SUM(C3+S3)</f>
        <v>20.5</v>
      </c>
    </row>
    <row r="4" spans="1:20" ht="15.75" customHeight="1">
      <c r="A4" s="79" t="s">
        <v>78</v>
      </c>
      <c r="B4" s="21"/>
      <c r="C4" s="42">
        <v>25</v>
      </c>
      <c r="D4" s="25"/>
      <c r="E4" s="25"/>
      <c r="F4" s="75">
        <f t="shared" si="0"/>
        <v>-25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>
        <f t="shared" si="1"/>
        <v>0</v>
      </c>
      <c r="T4" s="34">
        <f t="shared" si="2"/>
        <v>25</v>
      </c>
    </row>
    <row r="5" spans="1:20" ht="15.75" customHeight="1">
      <c r="A5" s="80" t="s">
        <v>79</v>
      </c>
      <c r="B5" s="21"/>
      <c r="C5" s="81">
        <v>100</v>
      </c>
      <c r="D5" s="25"/>
      <c r="E5" s="81">
        <v>0</v>
      </c>
      <c r="F5" s="75">
        <f t="shared" si="0"/>
        <v>-100</v>
      </c>
      <c r="G5" s="83">
        <f>SUM(-39+19.5)</f>
        <v>-19.5</v>
      </c>
      <c r="H5" s="36">
        <f>-11.18</f>
        <v>-11.18</v>
      </c>
      <c r="J5" s="31"/>
      <c r="K5" s="31"/>
      <c r="L5" s="31"/>
      <c r="M5" s="31"/>
      <c r="N5" s="31"/>
      <c r="O5" s="31"/>
      <c r="P5" s="31"/>
      <c r="Q5" s="31"/>
      <c r="R5" s="31"/>
      <c r="S5" s="31">
        <f t="shared" si="1"/>
        <v>-30.68</v>
      </c>
      <c r="T5" s="34">
        <f t="shared" si="2"/>
        <v>69.319999999999993</v>
      </c>
    </row>
    <row r="6" spans="1:20">
      <c r="A6" s="85" t="s">
        <v>80</v>
      </c>
      <c r="B6" s="21"/>
      <c r="C6" s="42">
        <v>0</v>
      </c>
      <c r="D6" s="86">
        <v>0</v>
      </c>
      <c r="E6" s="42">
        <v>0</v>
      </c>
      <c r="F6" s="87">
        <v>0</v>
      </c>
      <c r="G6" s="31"/>
      <c r="H6" s="31"/>
      <c r="I6" s="31"/>
      <c r="K6" s="31">
        <f>24.11+24.11-313.45+24.11+24.11+24.11+24.11+24.11+24.11+18.11</f>
        <v>-102.45999999999995</v>
      </c>
      <c r="L6" s="31"/>
      <c r="M6" s="31"/>
      <c r="N6" s="31"/>
      <c r="O6" s="31"/>
      <c r="P6" s="31"/>
      <c r="Q6" s="31"/>
      <c r="R6" s="31"/>
    </row>
    <row r="7" spans="1:20" ht="15.75" customHeight="1">
      <c r="A7" s="80" t="s">
        <v>41</v>
      </c>
      <c r="B7" s="21" t="s">
        <v>42</v>
      </c>
      <c r="C7" s="81">
        <f>SUM(C3:C5)*0.06</f>
        <v>13.5</v>
      </c>
      <c r="D7" s="25"/>
      <c r="E7" s="81">
        <v>0</v>
      </c>
      <c r="F7" s="75">
        <f>E7+D7-C7</f>
        <v>-13.5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>
        <f t="shared" ref="S7:S8" si="3">SUM(G7:R7)</f>
        <v>0</v>
      </c>
      <c r="T7" s="34">
        <f t="shared" ref="T7:T8" si="4">SUM(C7+S7)</f>
        <v>13.5</v>
      </c>
    </row>
    <row r="8" spans="1:20" ht="15.75" customHeight="1">
      <c r="A8" s="88" t="s">
        <v>82</v>
      </c>
      <c r="B8" s="21"/>
      <c r="C8" s="90">
        <f t="shared" ref="C8:F8" si="5">SUM(C3:C7)</f>
        <v>238.5</v>
      </c>
      <c r="D8" s="90">
        <f t="shared" si="5"/>
        <v>0</v>
      </c>
      <c r="E8" s="90">
        <f t="shared" si="5"/>
        <v>100</v>
      </c>
      <c r="F8" s="92">
        <f t="shared" si="5"/>
        <v>-138.5</v>
      </c>
      <c r="G8" s="31">
        <f t="shared" ref="G8:R8" si="6">SUM(G2:G7)</f>
        <v>-99</v>
      </c>
      <c r="H8" s="31">
        <f t="shared" si="6"/>
        <v>-11.18</v>
      </c>
      <c r="I8" s="31">
        <f t="shared" si="6"/>
        <v>0</v>
      </c>
      <c r="J8" s="31">
        <f t="shared" si="6"/>
        <v>0</v>
      </c>
      <c r="K8" s="31">
        <f t="shared" si="6"/>
        <v>-102.45999999999995</v>
      </c>
      <c r="L8" s="31">
        <f t="shared" si="6"/>
        <v>0</v>
      </c>
      <c r="M8" s="31">
        <f t="shared" si="6"/>
        <v>0</v>
      </c>
      <c r="N8" s="31">
        <f t="shared" si="6"/>
        <v>0</v>
      </c>
      <c r="O8" s="31">
        <f t="shared" si="6"/>
        <v>0</v>
      </c>
      <c r="P8" s="31">
        <f t="shared" si="6"/>
        <v>0</v>
      </c>
      <c r="Q8" s="31">
        <f t="shared" si="6"/>
        <v>0</v>
      </c>
      <c r="R8" s="31">
        <f t="shared" si="6"/>
        <v>0</v>
      </c>
      <c r="S8" s="31">
        <f t="shared" si="3"/>
        <v>-212.63999999999996</v>
      </c>
      <c r="T8" s="34">
        <f t="shared" si="4"/>
        <v>25.860000000000042</v>
      </c>
    </row>
    <row r="9" spans="1:20" ht="15.75" customHeight="1">
      <c r="R9" s="31"/>
    </row>
    <row r="10" spans="1:20" ht="15.75" customHeight="1">
      <c r="R10" s="31"/>
    </row>
    <row r="11" spans="1:20" ht="15.75" customHeight="1">
      <c r="R11" s="31"/>
    </row>
    <row r="12" spans="1:20" ht="15.75" customHeight="1">
      <c r="R12" s="31"/>
    </row>
    <row r="13" spans="1:20" ht="15.75" customHeight="1">
      <c r="R13" s="31"/>
    </row>
    <row r="14" spans="1:20" ht="15.75" customHeight="1">
      <c r="R14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1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.75" customHeight="1"/>
  <cols>
    <col min="1" max="1" width="24.26953125" customWidth="1"/>
    <col min="5" max="5" width="19.26953125" customWidth="1"/>
  </cols>
  <sheetData>
    <row r="1" spans="1:20" ht="15.75" customHeight="1">
      <c r="A1" s="1" t="s">
        <v>71</v>
      </c>
      <c r="B1" s="3"/>
      <c r="C1" s="3"/>
      <c r="D1" s="3"/>
      <c r="E1" s="3"/>
      <c r="F1" s="8"/>
    </row>
    <row r="2" spans="1:20" ht="15.75" customHeight="1">
      <c r="A2" s="6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2" t="s">
        <v>9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7" t="s">
        <v>29</v>
      </c>
      <c r="T2" s="14" t="s">
        <v>24</v>
      </c>
    </row>
    <row r="3" spans="1:20" ht="15.75" customHeight="1">
      <c r="A3" s="78" t="s">
        <v>77</v>
      </c>
      <c r="B3" s="21"/>
      <c r="C3" s="38">
        <v>2850</v>
      </c>
      <c r="D3" s="38">
        <v>2350</v>
      </c>
      <c r="E3" s="25"/>
      <c r="F3" s="29">
        <f t="shared" ref="F3:F7" si="0">E3+D3-C3</f>
        <v>-500</v>
      </c>
      <c r="G3" s="37">
        <f>SUM(25+10+25+35-9.55-156.42-226.08-19.3-2.16+35+25-592+84.85)</f>
        <v>-765.66</v>
      </c>
      <c r="H3" s="82">
        <f>SUM(-25.07+500-59.95+10.4-25.07+25.07)</f>
        <v>425.38</v>
      </c>
      <c r="I3" s="35">
        <v>25</v>
      </c>
      <c r="J3" s="37">
        <f>25</f>
        <v>25</v>
      </c>
      <c r="K3" s="31"/>
      <c r="L3" s="31"/>
      <c r="M3" s="31"/>
      <c r="N3" s="31"/>
      <c r="O3" s="31"/>
      <c r="P3" s="31"/>
      <c r="Q3" s="31"/>
      <c r="R3" s="31"/>
      <c r="S3" s="84">
        <f t="shared" ref="S3:S8" si="1">SUM(G3:R3)</f>
        <v>-290.27999999999997</v>
      </c>
      <c r="T3" s="34">
        <f t="shared" ref="T3:T8" si="2">SUM(C3+S3)</f>
        <v>2559.7200000000003</v>
      </c>
    </row>
    <row r="4" spans="1:20" ht="15.75" customHeight="1">
      <c r="A4" s="54" t="s">
        <v>81</v>
      </c>
      <c r="B4" s="57"/>
      <c r="C4" s="50">
        <v>5750</v>
      </c>
      <c r="D4" s="50">
        <v>5750</v>
      </c>
      <c r="E4" s="50">
        <v>0</v>
      </c>
      <c r="F4" s="29">
        <f t="shared" si="0"/>
        <v>0</v>
      </c>
      <c r="G4" s="37">
        <f>SUM(149+150+149.99+149.99+150+150+0.99+49.99+149.99+149.99+149.99+149.99+149.99+149.99+150+149.99+145.99+5)</f>
        <v>2300.88</v>
      </c>
      <c r="H4" s="82">
        <f>SUM(149.99+149.99-0.01+149.99+149.99+149.99+149.99+149.99-2772.8+149.99+149.99+149.99+149.99+149.99+150-0.01-21.14-9.65+149.99+150-0.01+150-0.01+100-100+149.99+149.99-0.01-0.01-0.01-1+149.99-21.14-9.95+9.65+21.14-485.99-6)</f>
        <v>-447.11</v>
      </c>
      <c r="I4" s="37">
        <f>-149.99-149.99+149.99+149.99+1500-486-18.77-11.09-8.7-201.2-6-53.94-209.02-209.02-209.02-204.85-109.66-209.02-53.94-258.72+3-173.67-12.3-45-42.5+169</f>
        <v>-850.42</v>
      </c>
      <c r="J4" s="35">
        <f>-24.88</f>
        <v>-24.88</v>
      </c>
      <c r="K4" s="31"/>
      <c r="L4" s="31"/>
      <c r="M4" s="31"/>
      <c r="N4" s="31"/>
      <c r="O4" s="31"/>
      <c r="P4" s="31"/>
      <c r="Q4" s="31"/>
      <c r="R4" s="31"/>
      <c r="S4" s="31">
        <f t="shared" si="1"/>
        <v>978.47</v>
      </c>
      <c r="T4" s="34">
        <f t="shared" si="2"/>
        <v>6728.47</v>
      </c>
    </row>
    <row r="5" spans="1:20" ht="15.75" customHeight="1">
      <c r="A5" s="93" t="s">
        <v>85</v>
      </c>
      <c r="B5" s="21"/>
      <c r="C5" s="32">
        <v>1650</v>
      </c>
      <c r="D5" s="32">
        <v>1650</v>
      </c>
      <c r="E5" s="25"/>
      <c r="F5" s="29">
        <f t="shared" si="0"/>
        <v>0</v>
      </c>
      <c r="G5" s="37"/>
      <c r="H5" s="37"/>
      <c r="I5" s="37"/>
      <c r="J5" s="37"/>
      <c r="K5" s="31"/>
      <c r="L5" s="31"/>
      <c r="M5" s="31"/>
      <c r="N5" s="31"/>
      <c r="O5" s="31"/>
      <c r="P5" s="31"/>
      <c r="Q5" s="31"/>
      <c r="R5" s="31"/>
      <c r="S5" s="31">
        <f t="shared" si="1"/>
        <v>0</v>
      </c>
      <c r="T5" s="34">
        <f t="shared" si="2"/>
        <v>1650</v>
      </c>
    </row>
    <row r="6" spans="1:20" ht="15.75" customHeight="1">
      <c r="A6" s="95" t="s">
        <v>86</v>
      </c>
      <c r="B6" s="96"/>
      <c r="C6" s="23">
        <v>1650</v>
      </c>
      <c r="D6" s="23">
        <v>1650</v>
      </c>
      <c r="E6" s="98"/>
      <c r="F6" s="29">
        <f t="shared" si="0"/>
        <v>0</v>
      </c>
      <c r="G6" s="37"/>
      <c r="H6" s="37"/>
      <c r="I6" s="37"/>
      <c r="J6" s="37"/>
      <c r="K6" s="31"/>
      <c r="L6" s="31"/>
      <c r="M6" s="31"/>
      <c r="N6" s="31"/>
      <c r="O6" s="31"/>
      <c r="P6" s="31"/>
      <c r="Q6" s="31"/>
      <c r="R6" s="31"/>
      <c r="S6" s="31">
        <f t="shared" si="1"/>
        <v>0</v>
      </c>
      <c r="T6" s="34">
        <f t="shared" si="2"/>
        <v>1650</v>
      </c>
    </row>
    <row r="7" spans="1:20" ht="15.75" customHeight="1">
      <c r="A7" s="85" t="s">
        <v>87</v>
      </c>
      <c r="B7" s="21"/>
      <c r="C7" s="44">
        <f>13245-100</f>
        <v>13145</v>
      </c>
      <c r="D7" s="23">
        <v>12250</v>
      </c>
      <c r="E7" s="32">
        <v>895</v>
      </c>
      <c r="F7" s="29">
        <f t="shared" si="0"/>
        <v>0</v>
      </c>
      <c r="G7" s="37"/>
      <c r="H7" s="37">
        <f>SUM(100-100-523.81-650.58)</f>
        <v>-1174.3899999999999</v>
      </c>
      <c r="I7" s="37">
        <f>-3.45-521.12-400-200</f>
        <v>-1124.5700000000002</v>
      </c>
      <c r="J7" s="37">
        <f>-278-300+1500</f>
        <v>922</v>
      </c>
      <c r="K7" s="31"/>
      <c r="L7" s="31"/>
      <c r="M7" s="31"/>
      <c r="N7" s="31"/>
      <c r="O7" s="31"/>
      <c r="P7" s="31"/>
      <c r="Q7" s="31"/>
      <c r="R7" s="31"/>
      <c r="S7" s="31">
        <f t="shared" si="1"/>
        <v>-1376.96</v>
      </c>
      <c r="T7" s="34">
        <f t="shared" si="2"/>
        <v>11768.04</v>
      </c>
    </row>
    <row r="8" spans="1:20" ht="15.75" customHeight="1">
      <c r="A8" s="45" t="s">
        <v>89</v>
      </c>
      <c r="B8" s="21"/>
      <c r="C8" s="48">
        <f t="shared" ref="C8:F8" si="3">SUM(C3:C7)</f>
        <v>25045</v>
      </c>
      <c r="D8" s="48">
        <f t="shared" si="3"/>
        <v>23650</v>
      </c>
      <c r="E8" s="48">
        <f t="shared" si="3"/>
        <v>895</v>
      </c>
      <c r="F8" s="51">
        <f t="shared" si="3"/>
        <v>-500</v>
      </c>
      <c r="G8" s="37">
        <f t="shared" ref="G8:R8" si="4">SUM(G2:G7)</f>
        <v>1535.2200000000003</v>
      </c>
      <c r="H8" s="37">
        <f t="shared" si="4"/>
        <v>-1196.1199999999999</v>
      </c>
      <c r="I8" s="37">
        <f t="shared" si="4"/>
        <v>-1949.9900000000002</v>
      </c>
      <c r="J8" s="37">
        <f t="shared" si="4"/>
        <v>922.12</v>
      </c>
      <c r="K8" s="31">
        <f t="shared" si="4"/>
        <v>0</v>
      </c>
      <c r="L8" s="31">
        <f t="shared" si="4"/>
        <v>0</v>
      </c>
      <c r="M8" s="31">
        <f t="shared" si="4"/>
        <v>0</v>
      </c>
      <c r="N8" s="31">
        <f t="shared" si="4"/>
        <v>0</v>
      </c>
      <c r="O8" s="31">
        <f t="shared" si="4"/>
        <v>0</v>
      </c>
      <c r="P8" s="31">
        <f t="shared" si="4"/>
        <v>0</v>
      </c>
      <c r="Q8" s="31">
        <f t="shared" si="4"/>
        <v>0</v>
      </c>
      <c r="R8" s="31">
        <f t="shared" si="4"/>
        <v>0</v>
      </c>
      <c r="S8" s="31">
        <f t="shared" si="1"/>
        <v>-688.76999999999987</v>
      </c>
      <c r="T8" s="34">
        <f t="shared" si="2"/>
        <v>24356.23</v>
      </c>
    </row>
    <row r="9" spans="1:20" ht="15.75" customHeight="1">
      <c r="R9" s="31"/>
    </row>
    <row r="10" spans="1:20" ht="15.75" customHeight="1">
      <c r="R10" s="31"/>
    </row>
    <row r="11" spans="1:20" ht="15.75" customHeight="1">
      <c r="R11" s="31"/>
    </row>
    <row r="12" spans="1:20" ht="15.75" customHeight="1">
      <c r="R12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T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.75" customHeight="1"/>
  <cols>
    <col min="1" max="1" width="33.08984375" customWidth="1"/>
    <col min="2" max="2" width="33.26953125" customWidth="1"/>
    <col min="5" max="5" width="19.26953125" customWidth="1"/>
  </cols>
  <sheetData>
    <row r="1" spans="1:20">
      <c r="A1" s="101" t="s">
        <v>91</v>
      </c>
      <c r="B1" s="3"/>
      <c r="C1" s="3"/>
      <c r="D1" s="3"/>
      <c r="E1" s="3"/>
      <c r="F1" s="102"/>
    </row>
    <row r="2" spans="1:20" ht="15.75" customHeight="1">
      <c r="A2" s="103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2" t="s">
        <v>9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7" t="s">
        <v>29</v>
      </c>
      <c r="T2" s="14" t="s">
        <v>92</v>
      </c>
    </row>
    <row r="3" spans="1:20" ht="15.75" customHeight="1">
      <c r="A3" s="47" t="s">
        <v>93</v>
      </c>
      <c r="B3" s="21"/>
      <c r="C3" s="44">
        <v>3600</v>
      </c>
      <c r="D3" s="81">
        <v>2500</v>
      </c>
      <c r="E3" s="44">
        <v>950</v>
      </c>
      <c r="F3" s="75">
        <f t="shared" ref="F3:F12" si="0">E3+D3-C3</f>
        <v>-150</v>
      </c>
      <c r="G3" s="31"/>
      <c r="H3" s="31"/>
      <c r="I3" s="36">
        <v>-16.98</v>
      </c>
      <c r="J3" s="31"/>
      <c r="K3" s="31"/>
      <c r="L3" s="31"/>
      <c r="M3" s="31"/>
      <c r="N3" s="31"/>
      <c r="O3" s="31"/>
      <c r="P3" s="31"/>
      <c r="Q3" s="31"/>
      <c r="R3" s="31"/>
      <c r="S3" s="31">
        <f t="shared" ref="S3:S13" si="1">SUM(G3:R3)</f>
        <v>-16.98</v>
      </c>
      <c r="T3" s="34">
        <f>SUM(C3-S4)</f>
        <v>3646.64</v>
      </c>
    </row>
    <row r="4" spans="1:20" ht="15.75" customHeight="1">
      <c r="A4" s="47" t="s">
        <v>94</v>
      </c>
      <c r="C4" s="42">
        <v>300</v>
      </c>
      <c r="D4" s="81">
        <v>0</v>
      </c>
      <c r="E4" s="42">
        <v>150</v>
      </c>
      <c r="F4" s="75">
        <f t="shared" si="0"/>
        <v>-150</v>
      </c>
      <c r="G4" s="104"/>
      <c r="H4" s="31">
        <f>-46.64</f>
        <v>-46.64</v>
      </c>
      <c r="I4" s="31"/>
      <c r="J4" s="31"/>
      <c r="K4" s="105"/>
      <c r="L4" s="31"/>
      <c r="M4" s="31"/>
      <c r="N4" s="31"/>
      <c r="O4" s="31"/>
      <c r="P4" s="31"/>
      <c r="Q4" s="31"/>
      <c r="R4" s="31"/>
      <c r="S4" s="31">
        <f t="shared" si="1"/>
        <v>-46.64</v>
      </c>
      <c r="T4" s="34">
        <f t="shared" ref="T4:T13" si="2">SUM(C4+S4)</f>
        <v>253.36</v>
      </c>
    </row>
    <row r="5" spans="1:20" ht="15.75" customHeight="1">
      <c r="A5" s="106" t="s">
        <v>95</v>
      </c>
      <c r="B5" s="21"/>
      <c r="C5" s="44">
        <v>100</v>
      </c>
      <c r="D5" s="25"/>
      <c r="E5" s="44">
        <v>100</v>
      </c>
      <c r="F5" s="75">
        <f t="shared" si="0"/>
        <v>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>
        <f t="shared" si="1"/>
        <v>0</v>
      </c>
      <c r="T5" s="34">
        <f t="shared" si="2"/>
        <v>100</v>
      </c>
    </row>
    <row r="6" spans="1:20" ht="15.75" customHeight="1">
      <c r="A6" s="107" t="s">
        <v>96</v>
      </c>
      <c r="B6" s="108"/>
      <c r="C6" s="38">
        <v>120</v>
      </c>
      <c r="D6" s="23">
        <v>0</v>
      </c>
      <c r="E6" s="38">
        <v>120</v>
      </c>
      <c r="F6" s="75">
        <f t="shared" si="0"/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>
        <f t="shared" si="1"/>
        <v>0</v>
      </c>
      <c r="T6" s="34">
        <f t="shared" si="2"/>
        <v>120</v>
      </c>
    </row>
    <row r="7" spans="1:20" ht="15.75" customHeight="1">
      <c r="A7" s="56" t="s">
        <v>97</v>
      </c>
      <c r="B7" s="109" t="s">
        <v>98</v>
      </c>
      <c r="C7" s="42">
        <f>SUM(66.668*3)</f>
        <v>200.00400000000002</v>
      </c>
      <c r="D7" s="81">
        <v>0</v>
      </c>
      <c r="E7" s="81">
        <v>150</v>
      </c>
      <c r="F7" s="75">
        <f t="shared" si="0"/>
        <v>-50.004000000000019</v>
      </c>
      <c r="G7" s="31"/>
      <c r="H7" s="31">
        <f>(-41.67-13.34)</f>
        <v>-55.010000000000005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>
        <f t="shared" si="1"/>
        <v>-55.010000000000005</v>
      </c>
      <c r="T7" s="34">
        <f t="shared" si="2"/>
        <v>144.99400000000003</v>
      </c>
    </row>
    <row r="8" spans="1:20" ht="15.75" customHeight="1">
      <c r="A8" s="54" t="s">
        <v>101</v>
      </c>
      <c r="B8" s="57"/>
      <c r="C8" s="111">
        <v>280</v>
      </c>
      <c r="D8" s="52">
        <v>0</v>
      </c>
      <c r="E8" s="111">
        <v>100</v>
      </c>
      <c r="F8" s="75">
        <f t="shared" si="0"/>
        <v>-180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>
        <f t="shared" si="1"/>
        <v>0</v>
      </c>
      <c r="T8" s="34">
        <f t="shared" si="2"/>
        <v>280</v>
      </c>
    </row>
    <row r="9" spans="1:20" ht="15.75" customHeight="1">
      <c r="A9" s="106" t="s">
        <v>102</v>
      </c>
      <c r="B9" s="112" t="s">
        <v>103</v>
      </c>
      <c r="C9" s="32">
        <v>90</v>
      </c>
      <c r="D9" s="81">
        <v>0</v>
      </c>
      <c r="E9" s="44">
        <v>90</v>
      </c>
      <c r="F9" s="75">
        <f t="shared" si="0"/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>
        <f t="shared" si="1"/>
        <v>0</v>
      </c>
      <c r="T9" s="34">
        <f t="shared" si="2"/>
        <v>90</v>
      </c>
    </row>
    <row r="10" spans="1:20" ht="15.75" customHeight="1">
      <c r="A10" s="26" t="s">
        <v>105</v>
      </c>
      <c r="B10" s="114"/>
      <c r="C10" s="42">
        <v>150</v>
      </c>
      <c r="D10" s="25"/>
      <c r="E10" s="42">
        <v>150</v>
      </c>
      <c r="F10" s="75">
        <f t="shared" si="0"/>
        <v>0</v>
      </c>
      <c r="G10" s="31"/>
      <c r="H10" s="31"/>
      <c r="I10" s="31"/>
      <c r="J10" s="36">
        <f>-150-4.22-35</f>
        <v>-189.22</v>
      </c>
      <c r="K10" s="40"/>
      <c r="L10" s="31"/>
      <c r="M10" s="31"/>
      <c r="N10" s="31"/>
      <c r="O10" s="31"/>
      <c r="P10" s="31"/>
      <c r="Q10" s="31"/>
      <c r="R10" s="31"/>
      <c r="S10" s="31">
        <f t="shared" si="1"/>
        <v>-189.22</v>
      </c>
      <c r="T10" s="34">
        <f t="shared" si="2"/>
        <v>-39.22</v>
      </c>
    </row>
    <row r="11" spans="1:20" ht="15.75" customHeight="1">
      <c r="A11" s="54" t="s">
        <v>109</v>
      </c>
      <c r="B11" s="21"/>
      <c r="C11" s="23">
        <v>150</v>
      </c>
      <c r="D11" s="25"/>
      <c r="E11" s="25"/>
      <c r="F11" s="75">
        <f t="shared" si="0"/>
        <v>-150</v>
      </c>
      <c r="G11" s="31"/>
      <c r="H11" s="31">
        <f>-31-93</f>
        <v>-124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>
        <f t="shared" si="1"/>
        <v>-124</v>
      </c>
      <c r="T11" s="34">
        <f t="shared" si="2"/>
        <v>26</v>
      </c>
    </row>
    <row r="12" spans="1:20" ht="15.75" customHeight="1">
      <c r="A12" s="93" t="s">
        <v>41</v>
      </c>
      <c r="B12" s="93" t="s">
        <v>110</v>
      </c>
      <c r="C12" s="23">
        <f>SUM(C4:C11)*0.06</f>
        <v>83.400239999999997</v>
      </c>
      <c r="D12" s="25"/>
      <c r="E12" s="23">
        <v>0</v>
      </c>
      <c r="F12" s="75">
        <f t="shared" si="0"/>
        <v>-83.400239999999997</v>
      </c>
      <c r="G12" s="31"/>
      <c r="H12" s="31"/>
      <c r="J12" s="31"/>
      <c r="K12" s="31"/>
      <c r="L12" s="31"/>
      <c r="M12" s="31"/>
      <c r="N12" s="31"/>
      <c r="O12" s="31"/>
      <c r="P12" s="31"/>
      <c r="Q12" s="31"/>
      <c r="R12" s="31"/>
      <c r="S12" s="31">
        <f t="shared" si="1"/>
        <v>0</v>
      </c>
      <c r="T12" s="34">
        <f t="shared" si="2"/>
        <v>83.400239999999997</v>
      </c>
    </row>
    <row r="13" spans="1:20" ht="15.75" customHeight="1">
      <c r="A13" s="118" t="s">
        <v>113</v>
      </c>
      <c r="B13" s="93"/>
      <c r="C13" s="48">
        <f t="shared" ref="C13:F13" si="3">SUM(C3:C12)</f>
        <v>5073.4042399999998</v>
      </c>
      <c r="D13" s="48">
        <f t="shared" si="3"/>
        <v>2500</v>
      </c>
      <c r="E13" s="48">
        <f t="shared" si="3"/>
        <v>1810</v>
      </c>
      <c r="F13" s="51">
        <f t="shared" si="3"/>
        <v>-763.40424000000007</v>
      </c>
      <c r="G13" s="31">
        <f t="shared" ref="G13:H13" si="4">SUM(G2:G12)</f>
        <v>0</v>
      </c>
      <c r="H13" s="31">
        <f t="shared" si="4"/>
        <v>-225.65</v>
      </c>
      <c r="I13" s="31">
        <f>SUM(I2:I11)</f>
        <v>-16.98</v>
      </c>
      <c r="J13" s="31">
        <f t="shared" ref="J13:Q13" si="5">SUM(J2:J12)</f>
        <v>-189.22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5"/>
        <v>0</v>
      </c>
      <c r="O13" s="31">
        <f t="shared" si="5"/>
        <v>0</v>
      </c>
      <c r="P13" s="31">
        <f t="shared" si="5"/>
        <v>0</v>
      </c>
      <c r="Q13" s="31">
        <f t="shared" si="5"/>
        <v>0</v>
      </c>
      <c r="R13" s="31">
        <f>SUM(R3:R12)</f>
        <v>0</v>
      </c>
      <c r="S13" s="31">
        <f t="shared" si="1"/>
        <v>-431.85</v>
      </c>
      <c r="T13" s="34">
        <f t="shared" si="2"/>
        <v>4641.5542399999995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53125" defaultRowHeight="15.75" customHeight="1"/>
  <cols>
    <col min="1" max="1" width="24.54296875" customWidth="1"/>
    <col min="2" max="2" width="33.81640625" customWidth="1"/>
    <col min="5" max="5" width="19.26953125" customWidth="1"/>
  </cols>
  <sheetData>
    <row r="1" spans="1:20" ht="15.75" customHeight="1">
      <c r="A1" s="1" t="s">
        <v>74</v>
      </c>
      <c r="B1" s="3"/>
      <c r="C1" s="3"/>
      <c r="D1" s="3"/>
      <c r="E1" s="3"/>
      <c r="F1" s="8"/>
    </row>
    <row r="2" spans="1:20" ht="15.75" customHeight="1">
      <c r="A2" s="6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2" t="s">
        <v>9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7" t="s">
        <v>29</v>
      </c>
      <c r="T2" s="14" t="s">
        <v>23</v>
      </c>
    </row>
    <row r="3" spans="1:20" ht="15.75" customHeight="1">
      <c r="A3" s="47" t="s">
        <v>99</v>
      </c>
      <c r="B3" s="110" t="s">
        <v>100</v>
      </c>
      <c r="C3" s="81">
        <v>1500</v>
      </c>
      <c r="D3" s="81">
        <v>1500</v>
      </c>
      <c r="E3" s="25"/>
      <c r="F3" s="75">
        <f t="shared" ref="F3:F12" si="0">E3+D3-C3</f>
        <v>0</v>
      </c>
      <c r="G3" s="31"/>
      <c r="H3" s="31">
        <f>-257.5</f>
        <v>-257.5</v>
      </c>
      <c r="I3" s="31"/>
      <c r="J3" s="31">
        <f>77.5+259.39</f>
        <v>336.89</v>
      </c>
      <c r="L3" s="31"/>
      <c r="M3" s="31"/>
      <c r="N3" s="31"/>
      <c r="O3" s="31"/>
      <c r="P3" s="31"/>
      <c r="Q3" s="31"/>
      <c r="R3" s="31"/>
      <c r="S3" s="31">
        <f t="shared" ref="S3:S13" si="1">SUM(G3:R3)</f>
        <v>79.389999999999986</v>
      </c>
      <c r="T3" s="34">
        <f t="shared" ref="T3:T13" si="2">SUM(C3+S3)</f>
        <v>1579.3899999999999</v>
      </c>
    </row>
    <row r="4" spans="1:20" ht="15.75" customHeight="1">
      <c r="A4" s="113" t="s">
        <v>104</v>
      </c>
      <c r="B4" s="110" t="s">
        <v>106</v>
      </c>
      <c r="C4" s="42">
        <v>700</v>
      </c>
      <c r="D4" s="81">
        <v>300</v>
      </c>
      <c r="E4" s="44">
        <v>300</v>
      </c>
      <c r="F4" s="75">
        <f t="shared" si="0"/>
        <v>-100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>
        <f t="shared" si="1"/>
        <v>0</v>
      </c>
      <c r="T4" s="34">
        <f t="shared" si="2"/>
        <v>700</v>
      </c>
    </row>
    <row r="5" spans="1:20" ht="15.75" customHeight="1">
      <c r="A5" s="115" t="s">
        <v>107</v>
      </c>
      <c r="B5" s="109" t="s">
        <v>108</v>
      </c>
      <c r="C5" s="42">
        <v>100</v>
      </c>
      <c r="D5" s="25"/>
      <c r="E5" s="25"/>
      <c r="F5" s="75">
        <f t="shared" si="0"/>
        <v>-100</v>
      </c>
      <c r="G5" s="31"/>
      <c r="H5" s="31">
        <f>SUM(-17.95-23.38)</f>
        <v>-41.33</v>
      </c>
      <c r="I5" s="31">
        <f>20.66</f>
        <v>20.66</v>
      </c>
      <c r="J5" s="31"/>
      <c r="K5" s="31"/>
      <c r="L5" s="31"/>
      <c r="M5" s="31"/>
      <c r="N5" s="31"/>
      <c r="O5" s="31"/>
      <c r="P5" s="31"/>
      <c r="Q5" s="31"/>
      <c r="R5" s="31"/>
      <c r="S5" s="31">
        <f t="shared" si="1"/>
        <v>-20.669999999999998</v>
      </c>
      <c r="T5" s="34">
        <f t="shared" si="2"/>
        <v>79.33</v>
      </c>
    </row>
    <row r="6" spans="1:20" ht="15.75" customHeight="1">
      <c r="A6" s="116" t="s">
        <v>111</v>
      </c>
      <c r="B6" s="117" t="s">
        <v>112</v>
      </c>
      <c r="C6" s="119">
        <v>730</v>
      </c>
      <c r="D6" s="119">
        <v>530</v>
      </c>
      <c r="E6" s="120"/>
      <c r="F6" s="75">
        <f t="shared" si="0"/>
        <v>-200</v>
      </c>
      <c r="G6" s="119"/>
      <c r="H6" s="31"/>
      <c r="I6" s="31"/>
      <c r="J6" s="31"/>
      <c r="K6" s="36">
        <f>-175-297</f>
        <v>-472</v>
      </c>
      <c r="L6" s="31"/>
      <c r="M6" s="31"/>
      <c r="N6" s="31"/>
      <c r="O6" s="31"/>
      <c r="P6" s="31"/>
      <c r="Q6" s="31"/>
      <c r="R6" s="31"/>
      <c r="S6" s="31">
        <f t="shared" si="1"/>
        <v>-472</v>
      </c>
      <c r="T6" s="31">
        <f t="shared" si="2"/>
        <v>258</v>
      </c>
    </row>
    <row r="7" spans="1:20" ht="15.75" customHeight="1">
      <c r="A7" s="54" t="s">
        <v>114</v>
      </c>
      <c r="B7" s="21"/>
      <c r="C7" s="23">
        <v>400</v>
      </c>
      <c r="D7" s="25"/>
      <c r="E7" s="25"/>
      <c r="F7" s="75">
        <f t="shared" si="0"/>
        <v>-400</v>
      </c>
      <c r="G7" s="31">
        <f>SUM(-70)</f>
        <v>-70</v>
      </c>
      <c r="H7" s="31">
        <f>SUM(-330)</f>
        <v>-330</v>
      </c>
      <c r="I7" s="36">
        <f>-113.75+113.75</f>
        <v>0</v>
      </c>
      <c r="J7" s="31"/>
      <c r="K7" s="31"/>
      <c r="L7" s="31"/>
      <c r="M7" s="31"/>
      <c r="N7" s="31"/>
      <c r="O7" s="31"/>
      <c r="P7" s="31"/>
      <c r="Q7" s="31"/>
      <c r="R7" s="31"/>
      <c r="S7" s="31">
        <f t="shared" si="1"/>
        <v>-400</v>
      </c>
      <c r="T7" s="34">
        <f t="shared" si="2"/>
        <v>0</v>
      </c>
    </row>
    <row r="8" spans="1:20" ht="15.75" customHeight="1">
      <c r="A8" s="106" t="s">
        <v>115</v>
      </c>
      <c r="B8" s="114"/>
      <c r="C8" s="44">
        <v>80</v>
      </c>
      <c r="D8" s="25"/>
      <c r="E8" s="25"/>
      <c r="F8" s="75">
        <f t="shared" si="0"/>
        <v>-80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>
        <f t="shared" si="1"/>
        <v>0</v>
      </c>
      <c r="T8" s="34">
        <f t="shared" si="2"/>
        <v>80</v>
      </c>
    </row>
    <row r="9" spans="1:20" ht="15.75" customHeight="1">
      <c r="A9" s="107" t="s">
        <v>116</v>
      </c>
      <c r="B9" s="112" t="s">
        <v>117</v>
      </c>
      <c r="C9" s="44">
        <v>100</v>
      </c>
      <c r="D9" s="25"/>
      <c r="E9" s="44">
        <v>100</v>
      </c>
      <c r="F9" s="75">
        <f t="shared" si="0"/>
        <v>0</v>
      </c>
      <c r="G9" s="31"/>
      <c r="H9" s="31"/>
      <c r="I9" s="31"/>
      <c r="J9" s="31">
        <f>-97.07-13.89</f>
        <v>-110.96</v>
      </c>
      <c r="K9" s="31"/>
      <c r="L9" s="31"/>
      <c r="M9" s="31"/>
      <c r="N9" s="31"/>
      <c r="O9" s="31"/>
      <c r="P9" s="31"/>
      <c r="Q9" s="31"/>
      <c r="R9" s="31"/>
      <c r="S9" s="31">
        <f t="shared" si="1"/>
        <v>-110.96</v>
      </c>
      <c r="T9" s="34">
        <f t="shared" si="2"/>
        <v>-10.959999999999994</v>
      </c>
    </row>
    <row r="10" spans="1:20" ht="15.75" customHeight="1">
      <c r="A10" s="106" t="s">
        <v>118</v>
      </c>
      <c r="B10" s="114"/>
      <c r="C10" s="42">
        <v>50</v>
      </c>
      <c r="D10" s="25"/>
      <c r="E10" s="25"/>
      <c r="F10" s="75">
        <f t="shared" si="0"/>
        <v>-50</v>
      </c>
      <c r="G10" s="31"/>
      <c r="H10" s="36"/>
      <c r="I10" s="31"/>
      <c r="J10" s="31"/>
      <c r="K10" s="36">
        <v>-90</v>
      </c>
      <c r="L10" s="31"/>
      <c r="M10" s="31"/>
      <c r="N10" s="31"/>
      <c r="O10" s="31"/>
      <c r="P10" s="31"/>
      <c r="Q10" s="31"/>
      <c r="R10" s="31"/>
      <c r="S10" s="31">
        <f t="shared" si="1"/>
        <v>-90</v>
      </c>
      <c r="T10" s="34">
        <f t="shared" si="2"/>
        <v>-40</v>
      </c>
    </row>
    <row r="11" spans="1:20" ht="15.75" customHeight="1">
      <c r="A11" s="19" t="s">
        <v>119</v>
      </c>
      <c r="B11" s="21"/>
      <c r="C11" s="23">
        <v>315</v>
      </c>
      <c r="D11" s="25"/>
      <c r="E11" s="25"/>
      <c r="F11" s="75">
        <f t="shared" si="0"/>
        <v>-315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>
        <f t="shared" si="1"/>
        <v>0</v>
      </c>
      <c r="T11" s="34">
        <f t="shared" si="2"/>
        <v>315</v>
      </c>
    </row>
    <row r="12" spans="1:20" ht="15.75" customHeight="1">
      <c r="A12" s="19" t="s">
        <v>41</v>
      </c>
      <c r="B12" s="21" t="s">
        <v>120</v>
      </c>
      <c r="C12" s="81">
        <f>SUM(C4:C11)*0.06</f>
        <v>148.5</v>
      </c>
      <c r="D12" s="25"/>
      <c r="E12" s="25"/>
      <c r="F12" s="75">
        <f t="shared" si="0"/>
        <v>-148.5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>
        <f t="shared" si="1"/>
        <v>0</v>
      </c>
      <c r="T12" s="34">
        <f t="shared" si="2"/>
        <v>148.5</v>
      </c>
    </row>
    <row r="13" spans="1:20" ht="15.75" customHeight="1">
      <c r="A13" s="45" t="s">
        <v>121</v>
      </c>
      <c r="B13" s="21"/>
      <c r="C13" s="121">
        <f t="shared" ref="C13:R13" si="3">SUM(C3:C12)</f>
        <v>4123.5</v>
      </c>
      <c r="D13" s="121">
        <f t="shared" si="3"/>
        <v>2330</v>
      </c>
      <c r="E13" s="121">
        <f t="shared" si="3"/>
        <v>400</v>
      </c>
      <c r="F13" s="122">
        <f t="shared" si="3"/>
        <v>-1393.5</v>
      </c>
      <c r="G13" s="31">
        <f t="shared" si="3"/>
        <v>-70</v>
      </c>
      <c r="H13" s="31">
        <f t="shared" si="3"/>
        <v>-628.82999999999993</v>
      </c>
      <c r="I13" s="31">
        <f t="shared" si="3"/>
        <v>20.66</v>
      </c>
      <c r="J13" s="31">
        <f t="shared" si="3"/>
        <v>225.93</v>
      </c>
      <c r="K13" s="31">
        <f t="shared" si="3"/>
        <v>-562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1">
        <f t="shared" si="3"/>
        <v>0</v>
      </c>
      <c r="R13" s="31">
        <f t="shared" si="3"/>
        <v>0</v>
      </c>
      <c r="S13" s="31">
        <f t="shared" si="1"/>
        <v>-1014.24</v>
      </c>
      <c r="T13" s="34">
        <f t="shared" si="2"/>
        <v>3109.26</v>
      </c>
    </row>
    <row r="15" spans="1:20" ht="15.75" customHeight="1">
      <c r="A15" s="1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Begroting Kwakiutl</vt:lpstr>
      <vt:lpstr>Algemene verengingskosten</vt:lpstr>
      <vt:lpstr>Bestuurskosten</vt:lpstr>
      <vt:lpstr>Commissieoverstijgend</vt:lpstr>
      <vt:lpstr>Commissie Reizen</vt:lpstr>
      <vt:lpstr>Commissie studie</vt:lpstr>
      <vt:lpstr>Commissie sociaal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2020-01-23T15:56:53Z</dcterms:created>
  <dcterms:modified xsi:type="dcterms:W3CDTF">2020-01-23T15:56:53Z</dcterms:modified>
</cp:coreProperties>
</file>